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Z:\ACCOUNTING\Common\Accounting Data by FY\FY 2018\Assessments FY18\Final Invoices\"/>
    </mc:Choice>
  </mc:AlternateContent>
  <bookViews>
    <workbookView xWindow="0" yWindow="0" windowWidth="15360" windowHeight="7530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assessment!$P$3:$P$261</definedName>
    <definedName name="_xlnm._FilterDatabase" localSheetId="4" hidden="1">claims!$A$3:$AC$261</definedName>
    <definedName name="_xlnm._FilterDatabase" localSheetId="5" hidden="1">costs!$A$5:$E$261</definedName>
    <definedName name="_xlnm._FilterDatabase" localSheetId="3" hidden="1">IFR!#REF!</definedName>
    <definedName name="_xlnm._FilterDatabase" localSheetId="0" hidden="1">invoices!#REF!</definedName>
    <definedName name="_xlnm._FilterDatabase" localSheetId="2" hidden="1">payroll!$J$5:$K$261</definedName>
    <definedName name="_xlnm.Print_Area" localSheetId="4">claims!$A$4:$W$269</definedName>
    <definedName name="_xlnm.Print_Area" localSheetId="5">costs!$A$4:$Q$264</definedName>
    <definedName name="_xlnm.Print_Area" localSheetId="3">IFR!$A$1:$AD$264</definedName>
    <definedName name="_xlnm.Print_Area" localSheetId="2">payroll!$A$4:$G$264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71027"/>
</workbook>
</file>

<file path=xl/calcChain.xml><?xml version="1.0" encoding="utf-8"?>
<calcChain xmlns="http://schemas.openxmlformats.org/spreadsheetml/2006/main">
  <c r="C6" i="1" l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C103" i="1"/>
  <c r="D103" i="1"/>
  <c r="E103" i="1"/>
  <c r="F103" i="1"/>
  <c r="C104" i="1"/>
  <c r="D104" i="1"/>
  <c r="E104" i="1"/>
  <c r="F104" i="1"/>
  <c r="C105" i="1"/>
  <c r="D105" i="1"/>
  <c r="E105" i="1"/>
  <c r="F105" i="1"/>
  <c r="C106" i="1"/>
  <c r="D106" i="1"/>
  <c r="E106" i="1"/>
  <c r="F106" i="1"/>
  <c r="C107" i="1"/>
  <c r="D107" i="1"/>
  <c r="E107" i="1"/>
  <c r="F107" i="1"/>
  <c r="C108" i="1"/>
  <c r="D108" i="1"/>
  <c r="E108" i="1"/>
  <c r="F108" i="1"/>
  <c r="C109" i="1"/>
  <c r="D109" i="1"/>
  <c r="E109" i="1"/>
  <c r="F109" i="1"/>
  <c r="C110" i="1"/>
  <c r="D110" i="1"/>
  <c r="E110" i="1"/>
  <c r="F110" i="1"/>
  <c r="C111" i="1"/>
  <c r="D111" i="1"/>
  <c r="E111" i="1"/>
  <c r="F111" i="1"/>
  <c r="C112" i="1"/>
  <c r="D112" i="1"/>
  <c r="E112" i="1"/>
  <c r="F112" i="1"/>
  <c r="C113" i="1"/>
  <c r="D113" i="1"/>
  <c r="E113" i="1"/>
  <c r="F113" i="1"/>
  <c r="C114" i="1"/>
  <c r="D114" i="1"/>
  <c r="E114" i="1"/>
  <c r="F114" i="1"/>
  <c r="C115" i="1"/>
  <c r="D115" i="1"/>
  <c r="E115" i="1"/>
  <c r="F115" i="1"/>
  <c r="C116" i="1"/>
  <c r="D116" i="1"/>
  <c r="E116" i="1"/>
  <c r="F116" i="1"/>
  <c r="C117" i="1"/>
  <c r="D117" i="1"/>
  <c r="E117" i="1"/>
  <c r="F117" i="1"/>
  <c r="C118" i="1"/>
  <c r="D118" i="1"/>
  <c r="E118" i="1"/>
  <c r="F118" i="1"/>
  <c r="C119" i="1"/>
  <c r="D119" i="1"/>
  <c r="E119" i="1"/>
  <c r="F119" i="1"/>
  <c r="C120" i="1"/>
  <c r="D120" i="1"/>
  <c r="E120" i="1"/>
  <c r="F120" i="1"/>
  <c r="C121" i="1"/>
  <c r="D121" i="1"/>
  <c r="E121" i="1"/>
  <c r="F121" i="1"/>
  <c r="C122" i="1"/>
  <c r="D122" i="1"/>
  <c r="E122" i="1"/>
  <c r="F122" i="1"/>
  <c r="C123" i="1"/>
  <c r="D123" i="1"/>
  <c r="E123" i="1"/>
  <c r="F123" i="1"/>
  <c r="C124" i="1"/>
  <c r="D124" i="1"/>
  <c r="E124" i="1"/>
  <c r="F124" i="1"/>
  <c r="C125" i="1"/>
  <c r="D125" i="1"/>
  <c r="E125" i="1"/>
  <c r="F125" i="1"/>
  <c r="C126" i="1"/>
  <c r="D126" i="1"/>
  <c r="E126" i="1"/>
  <c r="F126" i="1"/>
  <c r="C127" i="1"/>
  <c r="D127" i="1"/>
  <c r="E127" i="1"/>
  <c r="F127" i="1"/>
  <c r="C128" i="1"/>
  <c r="D128" i="1"/>
  <c r="E128" i="1"/>
  <c r="F128" i="1"/>
  <c r="C129" i="1"/>
  <c r="D129" i="1"/>
  <c r="E129" i="1"/>
  <c r="F129" i="1"/>
  <c r="C130" i="1"/>
  <c r="D130" i="1"/>
  <c r="E130" i="1"/>
  <c r="F130" i="1"/>
  <c r="C131" i="1"/>
  <c r="D131" i="1"/>
  <c r="E131" i="1"/>
  <c r="F131" i="1"/>
  <c r="C132" i="1"/>
  <c r="D132" i="1"/>
  <c r="E132" i="1"/>
  <c r="F132" i="1"/>
  <c r="C133" i="1"/>
  <c r="D133" i="1"/>
  <c r="E133" i="1"/>
  <c r="F133" i="1"/>
  <c r="C134" i="1"/>
  <c r="D134" i="1"/>
  <c r="E134" i="1"/>
  <c r="F134" i="1"/>
  <c r="C135" i="1"/>
  <c r="D135" i="1"/>
  <c r="E135" i="1"/>
  <c r="F135" i="1"/>
  <c r="C136" i="1"/>
  <c r="D136" i="1"/>
  <c r="E136" i="1"/>
  <c r="F136" i="1"/>
  <c r="C137" i="1"/>
  <c r="D137" i="1"/>
  <c r="E137" i="1"/>
  <c r="F137" i="1"/>
  <c r="C138" i="1"/>
  <c r="D138" i="1"/>
  <c r="E138" i="1"/>
  <c r="F138" i="1"/>
  <c r="C139" i="1"/>
  <c r="D139" i="1"/>
  <c r="E139" i="1"/>
  <c r="F139" i="1"/>
  <c r="C140" i="1"/>
  <c r="D140" i="1"/>
  <c r="E140" i="1"/>
  <c r="F140" i="1"/>
  <c r="C141" i="1"/>
  <c r="D141" i="1"/>
  <c r="E141" i="1"/>
  <c r="F141" i="1"/>
  <c r="C142" i="1"/>
  <c r="D142" i="1"/>
  <c r="E142" i="1"/>
  <c r="F142" i="1"/>
  <c r="C143" i="1"/>
  <c r="D143" i="1"/>
  <c r="E143" i="1"/>
  <c r="F143" i="1"/>
  <c r="C144" i="1"/>
  <c r="D144" i="1"/>
  <c r="E144" i="1"/>
  <c r="F144" i="1"/>
  <c r="C145" i="1"/>
  <c r="D145" i="1"/>
  <c r="E145" i="1"/>
  <c r="F145" i="1"/>
  <c r="C146" i="1"/>
  <c r="D146" i="1"/>
  <c r="E146" i="1"/>
  <c r="F146" i="1"/>
  <c r="C147" i="1"/>
  <c r="D147" i="1"/>
  <c r="E147" i="1"/>
  <c r="F147" i="1"/>
  <c r="C148" i="1"/>
  <c r="D148" i="1"/>
  <c r="E148" i="1"/>
  <c r="F148" i="1"/>
  <c r="C149" i="1"/>
  <c r="D149" i="1"/>
  <c r="E149" i="1"/>
  <c r="F149" i="1"/>
  <c r="C150" i="1"/>
  <c r="D150" i="1"/>
  <c r="E150" i="1"/>
  <c r="F150" i="1"/>
  <c r="C151" i="1"/>
  <c r="D151" i="1"/>
  <c r="E151" i="1"/>
  <c r="F151" i="1"/>
  <c r="C152" i="1"/>
  <c r="D152" i="1"/>
  <c r="E152" i="1"/>
  <c r="F152" i="1"/>
  <c r="C153" i="1"/>
  <c r="D153" i="1"/>
  <c r="E153" i="1"/>
  <c r="F153" i="1"/>
  <c r="C154" i="1"/>
  <c r="D154" i="1"/>
  <c r="E154" i="1"/>
  <c r="F154" i="1"/>
  <c r="C155" i="1"/>
  <c r="D155" i="1"/>
  <c r="E155" i="1"/>
  <c r="F155" i="1"/>
  <c r="C156" i="1"/>
  <c r="D156" i="1"/>
  <c r="E156" i="1"/>
  <c r="F156" i="1"/>
  <c r="C157" i="1"/>
  <c r="D157" i="1"/>
  <c r="E157" i="1"/>
  <c r="F157" i="1"/>
  <c r="C158" i="1"/>
  <c r="D158" i="1"/>
  <c r="E158" i="1"/>
  <c r="F158" i="1"/>
  <c r="C159" i="1"/>
  <c r="D159" i="1"/>
  <c r="E159" i="1"/>
  <c r="F159" i="1"/>
  <c r="C160" i="1"/>
  <c r="D160" i="1"/>
  <c r="E160" i="1"/>
  <c r="F160" i="1"/>
  <c r="C161" i="1"/>
  <c r="D161" i="1"/>
  <c r="E161" i="1"/>
  <c r="F161" i="1"/>
  <c r="C162" i="1"/>
  <c r="D162" i="1"/>
  <c r="E162" i="1"/>
  <c r="F162" i="1"/>
  <c r="C163" i="1"/>
  <c r="D163" i="1"/>
  <c r="E163" i="1"/>
  <c r="F163" i="1"/>
  <c r="C164" i="1"/>
  <c r="D164" i="1"/>
  <c r="E164" i="1"/>
  <c r="F164" i="1"/>
  <c r="C165" i="1"/>
  <c r="D165" i="1"/>
  <c r="E165" i="1"/>
  <c r="F165" i="1"/>
  <c r="C166" i="1"/>
  <c r="D166" i="1"/>
  <c r="E166" i="1"/>
  <c r="F166" i="1"/>
  <c r="C167" i="1"/>
  <c r="D167" i="1"/>
  <c r="E167" i="1"/>
  <c r="F167" i="1"/>
  <c r="C168" i="1"/>
  <c r="D168" i="1"/>
  <c r="E168" i="1"/>
  <c r="F168" i="1"/>
  <c r="C169" i="1"/>
  <c r="D169" i="1"/>
  <c r="E169" i="1"/>
  <c r="F169" i="1"/>
  <c r="C170" i="1"/>
  <c r="D170" i="1"/>
  <c r="E170" i="1"/>
  <c r="F170" i="1"/>
  <c r="C171" i="1"/>
  <c r="D171" i="1"/>
  <c r="E171" i="1"/>
  <c r="F171" i="1"/>
  <c r="C172" i="1"/>
  <c r="D172" i="1"/>
  <c r="E172" i="1"/>
  <c r="F172" i="1"/>
  <c r="C173" i="1"/>
  <c r="D173" i="1"/>
  <c r="E173" i="1"/>
  <c r="F173" i="1"/>
  <c r="C174" i="1"/>
  <c r="D174" i="1"/>
  <c r="E174" i="1"/>
  <c r="F174" i="1"/>
  <c r="C175" i="1"/>
  <c r="D175" i="1"/>
  <c r="E175" i="1"/>
  <c r="F175" i="1"/>
  <c r="C176" i="1"/>
  <c r="D176" i="1"/>
  <c r="E176" i="1"/>
  <c r="F176" i="1"/>
  <c r="C177" i="1"/>
  <c r="D177" i="1"/>
  <c r="E177" i="1"/>
  <c r="F177" i="1"/>
  <c r="C178" i="1"/>
  <c r="D178" i="1"/>
  <c r="E178" i="1"/>
  <c r="F178" i="1"/>
  <c r="C179" i="1"/>
  <c r="D179" i="1"/>
  <c r="E179" i="1"/>
  <c r="F179" i="1"/>
  <c r="C180" i="1"/>
  <c r="D180" i="1"/>
  <c r="E180" i="1"/>
  <c r="F180" i="1"/>
  <c r="C181" i="1"/>
  <c r="D181" i="1"/>
  <c r="E181" i="1"/>
  <c r="F181" i="1"/>
  <c r="C182" i="1"/>
  <c r="D182" i="1"/>
  <c r="E182" i="1"/>
  <c r="F182" i="1"/>
  <c r="C183" i="1"/>
  <c r="D183" i="1"/>
  <c r="E183" i="1"/>
  <c r="F183" i="1"/>
  <c r="C184" i="1"/>
  <c r="D184" i="1"/>
  <c r="E184" i="1"/>
  <c r="F184" i="1"/>
  <c r="C185" i="1"/>
  <c r="D185" i="1"/>
  <c r="E185" i="1"/>
  <c r="F185" i="1"/>
  <c r="C186" i="1"/>
  <c r="D186" i="1"/>
  <c r="E186" i="1"/>
  <c r="F186" i="1"/>
  <c r="C187" i="1"/>
  <c r="D187" i="1"/>
  <c r="E187" i="1"/>
  <c r="F187" i="1"/>
  <c r="C188" i="1"/>
  <c r="D188" i="1"/>
  <c r="E188" i="1"/>
  <c r="F188" i="1"/>
  <c r="C189" i="1"/>
  <c r="D189" i="1"/>
  <c r="E189" i="1"/>
  <c r="F189" i="1"/>
  <c r="C190" i="1"/>
  <c r="D190" i="1"/>
  <c r="E190" i="1"/>
  <c r="F190" i="1"/>
  <c r="C191" i="1"/>
  <c r="D191" i="1"/>
  <c r="E191" i="1"/>
  <c r="F191" i="1"/>
  <c r="C192" i="1"/>
  <c r="D192" i="1"/>
  <c r="E192" i="1"/>
  <c r="F192" i="1"/>
  <c r="C193" i="1"/>
  <c r="D193" i="1"/>
  <c r="E193" i="1"/>
  <c r="F193" i="1"/>
  <c r="C194" i="1"/>
  <c r="D194" i="1"/>
  <c r="E194" i="1"/>
  <c r="F194" i="1"/>
  <c r="C195" i="1"/>
  <c r="D195" i="1"/>
  <c r="E195" i="1"/>
  <c r="F195" i="1"/>
  <c r="C196" i="1"/>
  <c r="D196" i="1"/>
  <c r="E196" i="1"/>
  <c r="F196" i="1"/>
  <c r="C197" i="1"/>
  <c r="D197" i="1"/>
  <c r="E197" i="1"/>
  <c r="F197" i="1"/>
  <c r="C198" i="1"/>
  <c r="D198" i="1"/>
  <c r="E198" i="1"/>
  <c r="F198" i="1"/>
  <c r="C199" i="1"/>
  <c r="D199" i="1"/>
  <c r="E199" i="1"/>
  <c r="F199" i="1"/>
  <c r="C200" i="1"/>
  <c r="D200" i="1"/>
  <c r="E200" i="1"/>
  <c r="F200" i="1"/>
  <c r="C201" i="1"/>
  <c r="D201" i="1"/>
  <c r="E201" i="1"/>
  <c r="F201" i="1"/>
  <c r="C202" i="1"/>
  <c r="D202" i="1"/>
  <c r="E202" i="1"/>
  <c r="F202" i="1"/>
  <c r="C203" i="1"/>
  <c r="D203" i="1"/>
  <c r="E203" i="1"/>
  <c r="F203" i="1"/>
  <c r="C204" i="1"/>
  <c r="D204" i="1"/>
  <c r="E204" i="1"/>
  <c r="F204" i="1"/>
  <c r="C205" i="1"/>
  <c r="D205" i="1"/>
  <c r="E205" i="1"/>
  <c r="F205" i="1"/>
  <c r="C206" i="1"/>
  <c r="D206" i="1"/>
  <c r="E206" i="1"/>
  <c r="F206" i="1"/>
  <c r="C207" i="1"/>
  <c r="D207" i="1"/>
  <c r="E207" i="1"/>
  <c r="F207" i="1"/>
  <c r="C208" i="1"/>
  <c r="D208" i="1"/>
  <c r="E208" i="1"/>
  <c r="F208" i="1"/>
  <c r="C209" i="1"/>
  <c r="D209" i="1"/>
  <c r="E209" i="1"/>
  <c r="F209" i="1"/>
  <c r="C210" i="1"/>
  <c r="D210" i="1"/>
  <c r="E210" i="1"/>
  <c r="F210" i="1"/>
  <c r="C211" i="1"/>
  <c r="D211" i="1"/>
  <c r="E211" i="1"/>
  <c r="F211" i="1"/>
  <c r="C212" i="1"/>
  <c r="D212" i="1"/>
  <c r="E212" i="1"/>
  <c r="F212" i="1"/>
  <c r="C213" i="1"/>
  <c r="D213" i="1"/>
  <c r="E213" i="1"/>
  <c r="F213" i="1"/>
  <c r="C214" i="1"/>
  <c r="D214" i="1"/>
  <c r="E214" i="1"/>
  <c r="F214" i="1"/>
  <c r="C215" i="1"/>
  <c r="D215" i="1"/>
  <c r="E215" i="1"/>
  <c r="F215" i="1"/>
  <c r="C216" i="1"/>
  <c r="D216" i="1"/>
  <c r="E216" i="1"/>
  <c r="F216" i="1"/>
  <c r="C217" i="1"/>
  <c r="D217" i="1"/>
  <c r="E217" i="1"/>
  <c r="F217" i="1"/>
  <c r="C218" i="1"/>
  <c r="D218" i="1"/>
  <c r="E218" i="1"/>
  <c r="F218" i="1"/>
  <c r="C219" i="1"/>
  <c r="D219" i="1"/>
  <c r="E219" i="1"/>
  <c r="F219" i="1"/>
  <c r="C220" i="1"/>
  <c r="D220" i="1"/>
  <c r="E220" i="1"/>
  <c r="F220" i="1"/>
  <c r="C221" i="1"/>
  <c r="D221" i="1"/>
  <c r="E221" i="1"/>
  <c r="F221" i="1"/>
  <c r="C222" i="1"/>
  <c r="D222" i="1"/>
  <c r="E222" i="1"/>
  <c r="F222" i="1"/>
  <c r="C223" i="1"/>
  <c r="D223" i="1"/>
  <c r="E223" i="1"/>
  <c r="F223" i="1"/>
  <c r="C224" i="1"/>
  <c r="D224" i="1"/>
  <c r="E224" i="1"/>
  <c r="F224" i="1"/>
  <c r="C225" i="1"/>
  <c r="D225" i="1"/>
  <c r="E225" i="1"/>
  <c r="F225" i="1"/>
  <c r="C226" i="1"/>
  <c r="D226" i="1"/>
  <c r="E226" i="1"/>
  <c r="F226" i="1"/>
  <c r="C227" i="1"/>
  <c r="D227" i="1"/>
  <c r="E227" i="1"/>
  <c r="F227" i="1"/>
  <c r="C228" i="1"/>
  <c r="D228" i="1"/>
  <c r="E228" i="1"/>
  <c r="F228" i="1"/>
  <c r="C229" i="1"/>
  <c r="D229" i="1"/>
  <c r="E229" i="1"/>
  <c r="F229" i="1"/>
  <c r="C230" i="1"/>
  <c r="D230" i="1"/>
  <c r="E230" i="1"/>
  <c r="F230" i="1"/>
  <c r="C231" i="1"/>
  <c r="D231" i="1"/>
  <c r="E231" i="1"/>
  <c r="F231" i="1"/>
  <c r="C232" i="1"/>
  <c r="D232" i="1"/>
  <c r="E232" i="1"/>
  <c r="F232" i="1"/>
  <c r="C233" i="1"/>
  <c r="D233" i="1"/>
  <c r="E233" i="1"/>
  <c r="F233" i="1"/>
  <c r="C234" i="1"/>
  <c r="D234" i="1"/>
  <c r="E234" i="1"/>
  <c r="F234" i="1"/>
  <c r="C235" i="1"/>
  <c r="D235" i="1"/>
  <c r="E235" i="1"/>
  <c r="F235" i="1"/>
  <c r="C236" i="1"/>
  <c r="D236" i="1"/>
  <c r="E236" i="1"/>
  <c r="F236" i="1"/>
  <c r="C237" i="1"/>
  <c r="D237" i="1"/>
  <c r="E237" i="1"/>
  <c r="F237" i="1"/>
  <c r="C238" i="1"/>
  <c r="D238" i="1"/>
  <c r="E238" i="1"/>
  <c r="F238" i="1"/>
  <c r="C239" i="1"/>
  <c r="D239" i="1"/>
  <c r="E239" i="1"/>
  <c r="F239" i="1"/>
  <c r="C240" i="1"/>
  <c r="D240" i="1"/>
  <c r="E240" i="1"/>
  <c r="F240" i="1"/>
  <c r="C241" i="1"/>
  <c r="D241" i="1"/>
  <c r="E241" i="1"/>
  <c r="F241" i="1"/>
  <c r="C242" i="1"/>
  <c r="D242" i="1"/>
  <c r="E242" i="1"/>
  <c r="F242" i="1"/>
  <c r="C243" i="1"/>
  <c r="D243" i="1"/>
  <c r="E243" i="1"/>
  <c r="F243" i="1"/>
  <c r="C244" i="1"/>
  <c r="D244" i="1"/>
  <c r="E244" i="1"/>
  <c r="F244" i="1"/>
  <c r="C245" i="1"/>
  <c r="D245" i="1"/>
  <c r="E245" i="1"/>
  <c r="F245" i="1"/>
  <c r="C246" i="1"/>
  <c r="D246" i="1"/>
  <c r="E246" i="1"/>
  <c r="F246" i="1"/>
  <c r="C247" i="1"/>
  <c r="D247" i="1"/>
  <c r="E247" i="1"/>
  <c r="F247" i="1"/>
  <c r="C248" i="1"/>
  <c r="D248" i="1"/>
  <c r="E248" i="1"/>
  <c r="F248" i="1"/>
  <c r="C249" i="1"/>
  <c r="D249" i="1"/>
  <c r="E249" i="1"/>
  <c r="F249" i="1"/>
  <c r="C250" i="1"/>
  <c r="D250" i="1"/>
  <c r="E250" i="1"/>
  <c r="F250" i="1"/>
  <c r="C251" i="1"/>
  <c r="D251" i="1"/>
  <c r="E251" i="1"/>
  <c r="F251" i="1"/>
  <c r="C252" i="1"/>
  <c r="D252" i="1"/>
  <c r="E252" i="1"/>
  <c r="F252" i="1"/>
  <c r="C253" i="1"/>
  <c r="D253" i="1"/>
  <c r="E253" i="1"/>
  <c r="F253" i="1"/>
  <c r="C254" i="1"/>
  <c r="D254" i="1"/>
  <c r="E254" i="1"/>
  <c r="F254" i="1"/>
  <c r="C255" i="1"/>
  <c r="D255" i="1"/>
  <c r="E255" i="1"/>
  <c r="F255" i="1"/>
  <c r="C256" i="1"/>
  <c r="D256" i="1"/>
  <c r="E256" i="1"/>
  <c r="F256" i="1"/>
  <c r="C257" i="1"/>
  <c r="D257" i="1"/>
  <c r="E257" i="1"/>
  <c r="F257" i="1"/>
  <c r="C258" i="1"/>
  <c r="D258" i="1"/>
  <c r="E258" i="1"/>
  <c r="F258" i="1"/>
  <c r="C259" i="1"/>
  <c r="D259" i="1"/>
  <c r="E259" i="1"/>
  <c r="F259" i="1"/>
  <c r="C260" i="1"/>
  <c r="D260" i="1"/>
  <c r="E260" i="1"/>
  <c r="F260" i="1"/>
  <c r="C261" i="1"/>
  <c r="D261" i="1"/>
  <c r="E261" i="1"/>
  <c r="E262" i="1" s="1"/>
  <c r="F261" i="1"/>
  <c r="C262" i="1"/>
  <c r="D262" i="1"/>
  <c r="F262" i="1"/>
  <c r="F5" i="1"/>
  <c r="J269" i="1"/>
  <c r="H278" i="8" l="1"/>
  <c r="E44" i="5"/>
  <c r="P90" i="3" l="1"/>
  <c r="O90" i="3"/>
  <c r="N90" i="3"/>
  <c r="M90" i="3"/>
  <c r="K90" i="3"/>
  <c r="J90" i="3"/>
  <c r="I90" i="3"/>
  <c r="H90" i="3"/>
  <c r="F90" i="3"/>
  <c r="C90" i="3"/>
  <c r="E90" i="3"/>
  <c r="D90" i="3"/>
  <c r="E90" i="2" l="1"/>
  <c r="D90" i="2"/>
  <c r="C90" i="2"/>
  <c r="F44" i="7" l="1"/>
  <c r="E44" i="7"/>
  <c r="D44" i="7"/>
  <c r="P65" i="3" l="1"/>
  <c r="O65" i="3"/>
  <c r="N65" i="3"/>
  <c r="M65" i="3"/>
  <c r="K65" i="3"/>
  <c r="J65" i="3"/>
  <c r="I65" i="3"/>
  <c r="H65" i="3"/>
  <c r="F65" i="3"/>
  <c r="E65" i="3"/>
  <c r="D65" i="3"/>
  <c r="C65" i="3"/>
  <c r="C262" i="3"/>
  <c r="E65" i="2"/>
  <c r="D65" i="2"/>
  <c r="C65" i="2"/>
  <c r="G104" i="7" l="1"/>
  <c r="G124" i="7"/>
  <c r="G101" i="7"/>
  <c r="D114" i="7"/>
  <c r="E119" i="2" l="1"/>
  <c r="E34" i="2" l="1"/>
  <c r="D34" i="2" l="1"/>
  <c r="D119" i="2" l="1"/>
  <c r="P37" i="3" l="1"/>
  <c r="O37" i="3"/>
  <c r="N37" i="3"/>
  <c r="M37" i="3"/>
  <c r="P264" i="3" l="1"/>
  <c r="P262" i="3"/>
  <c r="K37" i="3" l="1"/>
  <c r="J37" i="3"/>
  <c r="I37" i="3"/>
  <c r="H37" i="3"/>
  <c r="F114" i="3"/>
  <c r="E114" i="3"/>
  <c r="D114" i="3"/>
  <c r="C114" i="3"/>
  <c r="F37" i="3"/>
  <c r="E37" i="3"/>
  <c r="D37" i="3"/>
  <c r="C37" i="3"/>
  <c r="C264" i="3" l="1"/>
  <c r="F268" i="8"/>
  <c r="F269" i="8"/>
  <c r="F270" i="8"/>
  <c r="F267" i="8"/>
  <c r="G114" i="3" l="1"/>
  <c r="L261" i="3" l="1"/>
  <c r="L260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259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G261" i="3"/>
  <c r="G260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259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L37" i="3" l="1"/>
  <c r="F21" i="2" l="1"/>
  <c r="G128" i="5" l="1"/>
  <c r="J128" i="5" s="1"/>
  <c r="G128" i="7"/>
  <c r="I128" i="7"/>
  <c r="Q128" i="3"/>
  <c r="R128" i="3" s="1"/>
  <c r="V128" i="3"/>
  <c r="Z128" i="3" s="1"/>
  <c r="W128" i="3"/>
  <c r="AA128" i="3" s="1"/>
  <c r="X128" i="3"/>
  <c r="F128" i="2"/>
  <c r="AB128" i="3" l="1"/>
  <c r="AD128" i="3" s="1"/>
  <c r="J128" i="7" s="1"/>
  <c r="K128" i="7" s="1"/>
  <c r="L128" i="7" s="1"/>
  <c r="P128" i="7" s="1"/>
  <c r="J272" i="1" l="1"/>
  <c r="G177" i="5" l="1"/>
  <c r="Q127" i="3" l="1"/>
  <c r="R127" i="3" l="1"/>
  <c r="G233" i="5"/>
  <c r="J233" i="5" s="1"/>
  <c r="X233" i="3"/>
  <c r="W233" i="3"/>
  <c r="V233" i="3"/>
  <c r="G233" i="7"/>
  <c r="I233" i="7"/>
  <c r="Q233" i="3"/>
  <c r="E262" i="2"/>
  <c r="E264" i="2" s="1"/>
  <c r="E267" i="2" s="1"/>
  <c r="F233" i="2"/>
  <c r="Z233" i="3" l="1"/>
  <c r="AA233" i="3"/>
  <c r="R233" i="3"/>
  <c r="AB233" i="3"/>
  <c r="F272" i="8"/>
  <c r="F262" i="3"/>
  <c r="F264" i="3" s="1"/>
  <c r="E262" i="3"/>
  <c r="E264" i="3" s="1"/>
  <c r="D262" i="3"/>
  <c r="D264" i="3" s="1"/>
  <c r="AD233" i="3" l="1"/>
  <c r="J233" i="7" s="1"/>
  <c r="K233" i="7" s="1"/>
  <c r="L233" i="7" s="1"/>
  <c r="P233" i="7" s="1"/>
  <c r="M262" i="3"/>
  <c r="M264" i="3" s="1"/>
  <c r="N262" i="3"/>
  <c r="N264" i="3" s="1"/>
  <c r="O262" i="3"/>
  <c r="O264" i="3" s="1"/>
  <c r="G261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259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60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259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60" i="2"/>
  <c r="F261" i="2"/>
  <c r="Q5" i="3"/>
  <c r="Q6" i="3"/>
  <c r="Q7" i="3"/>
  <c r="Q8" i="3"/>
  <c r="Q9" i="3"/>
  <c r="Q10" i="3"/>
  <c r="Q11" i="3"/>
  <c r="Q12" i="3"/>
  <c r="Q13" i="3"/>
  <c r="Q14" i="3"/>
  <c r="Q15" i="3"/>
  <c r="R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R101" i="3" s="1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259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60" i="3"/>
  <c r="Q261" i="3"/>
  <c r="I5" i="7"/>
  <c r="V5" i="3"/>
  <c r="Z5" i="3" s="1"/>
  <c r="W5" i="3"/>
  <c r="AA5" i="3" s="1"/>
  <c r="X5" i="3"/>
  <c r="I6" i="7"/>
  <c r="V6" i="3"/>
  <c r="W6" i="3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I18" i="7"/>
  <c r="V18" i="3"/>
  <c r="W18" i="3"/>
  <c r="X18" i="3"/>
  <c r="I19" i="7"/>
  <c r="V19" i="3"/>
  <c r="W19" i="3"/>
  <c r="X19" i="3"/>
  <c r="I20" i="7"/>
  <c r="V20" i="3"/>
  <c r="Z20" i="3" s="1"/>
  <c r="W20" i="3"/>
  <c r="X20" i="3"/>
  <c r="I21" i="7"/>
  <c r="V21" i="3"/>
  <c r="W21" i="3"/>
  <c r="AA21" i="3" s="1"/>
  <c r="X21" i="3"/>
  <c r="I22" i="7"/>
  <c r="V22" i="3"/>
  <c r="W22" i="3"/>
  <c r="X22" i="3"/>
  <c r="I23" i="7"/>
  <c r="V23" i="3"/>
  <c r="W23" i="3"/>
  <c r="X23" i="3"/>
  <c r="I24" i="7"/>
  <c r="V24" i="3"/>
  <c r="Z24" i="3" s="1"/>
  <c r="W24" i="3"/>
  <c r="X24" i="3"/>
  <c r="I25" i="7"/>
  <c r="V25" i="3"/>
  <c r="W25" i="3"/>
  <c r="AA25" i="3" s="1"/>
  <c r="X25" i="3"/>
  <c r="I26" i="7"/>
  <c r="V26" i="3"/>
  <c r="W26" i="3"/>
  <c r="X26" i="3"/>
  <c r="I27" i="7"/>
  <c r="V27" i="3"/>
  <c r="W27" i="3"/>
  <c r="X27" i="3"/>
  <c r="I28" i="7"/>
  <c r="V28" i="3"/>
  <c r="Z28" i="3" s="1"/>
  <c r="W28" i="3"/>
  <c r="X28" i="3"/>
  <c r="I29" i="7"/>
  <c r="V29" i="3"/>
  <c r="W29" i="3"/>
  <c r="AA29" i="3" s="1"/>
  <c r="X29" i="3"/>
  <c r="I30" i="7"/>
  <c r="V30" i="3"/>
  <c r="W30" i="3"/>
  <c r="X30" i="3"/>
  <c r="I31" i="7"/>
  <c r="V31" i="3"/>
  <c r="W31" i="3"/>
  <c r="X31" i="3"/>
  <c r="I32" i="7"/>
  <c r="V32" i="3"/>
  <c r="Z32" i="3" s="1"/>
  <c r="W32" i="3"/>
  <c r="X32" i="3"/>
  <c r="I33" i="7"/>
  <c r="V33" i="3"/>
  <c r="W33" i="3"/>
  <c r="AA33" i="3" s="1"/>
  <c r="X33" i="3"/>
  <c r="I34" i="7"/>
  <c r="V34" i="3"/>
  <c r="W34" i="3"/>
  <c r="X34" i="3"/>
  <c r="I35" i="7"/>
  <c r="V35" i="3"/>
  <c r="W35" i="3"/>
  <c r="X35" i="3"/>
  <c r="I36" i="7"/>
  <c r="V36" i="3"/>
  <c r="Z36" i="3" s="1"/>
  <c r="W36" i="3"/>
  <c r="X36" i="3"/>
  <c r="I37" i="7"/>
  <c r="V37" i="3"/>
  <c r="W37" i="3"/>
  <c r="AA37" i="3" s="1"/>
  <c r="X37" i="3"/>
  <c r="AB37" i="3" s="1"/>
  <c r="I38" i="7"/>
  <c r="V38" i="3"/>
  <c r="W38" i="3"/>
  <c r="X38" i="3"/>
  <c r="I39" i="7"/>
  <c r="V39" i="3"/>
  <c r="W39" i="3"/>
  <c r="X39" i="3"/>
  <c r="I40" i="7"/>
  <c r="V40" i="3"/>
  <c r="Z40" i="3" s="1"/>
  <c r="W40" i="3"/>
  <c r="X40" i="3"/>
  <c r="I41" i="7"/>
  <c r="V41" i="3"/>
  <c r="W41" i="3"/>
  <c r="AA41" i="3" s="1"/>
  <c r="X41" i="3"/>
  <c r="I42" i="7"/>
  <c r="V42" i="3"/>
  <c r="W42" i="3"/>
  <c r="X42" i="3"/>
  <c r="I43" i="7"/>
  <c r="V43" i="3"/>
  <c r="W43" i="3"/>
  <c r="X43" i="3"/>
  <c r="I44" i="7"/>
  <c r="V44" i="3"/>
  <c r="Z44" i="3" s="1"/>
  <c r="W44" i="3"/>
  <c r="X44" i="3"/>
  <c r="I45" i="7"/>
  <c r="V45" i="3"/>
  <c r="W45" i="3"/>
  <c r="AA45" i="3" s="1"/>
  <c r="X45" i="3"/>
  <c r="I46" i="7"/>
  <c r="V46" i="3"/>
  <c r="W46" i="3"/>
  <c r="X46" i="3"/>
  <c r="I47" i="7"/>
  <c r="V47" i="3"/>
  <c r="W47" i="3"/>
  <c r="X47" i="3"/>
  <c r="I48" i="7"/>
  <c r="V48" i="3"/>
  <c r="Z48" i="3" s="1"/>
  <c r="W48" i="3"/>
  <c r="X48" i="3"/>
  <c r="I49" i="7"/>
  <c r="V49" i="3"/>
  <c r="W49" i="3"/>
  <c r="AA49" i="3" s="1"/>
  <c r="X49" i="3"/>
  <c r="I50" i="7"/>
  <c r="V50" i="3"/>
  <c r="W50" i="3"/>
  <c r="X50" i="3"/>
  <c r="I51" i="7"/>
  <c r="V51" i="3"/>
  <c r="W51" i="3"/>
  <c r="X51" i="3"/>
  <c r="I52" i="7"/>
  <c r="V52" i="3"/>
  <c r="Z52" i="3" s="1"/>
  <c r="W52" i="3"/>
  <c r="X52" i="3"/>
  <c r="I53" i="7"/>
  <c r="V53" i="3"/>
  <c r="W53" i="3"/>
  <c r="AA53" i="3" s="1"/>
  <c r="X53" i="3"/>
  <c r="AB53" i="3" s="1"/>
  <c r="I54" i="7"/>
  <c r="V54" i="3"/>
  <c r="W54" i="3"/>
  <c r="X54" i="3"/>
  <c r="I55" i="7"/>
  <c r="V55" i="3"/>
  <c r="W55" i="3"/>
  <c r="X55" i="3"/>
  <c r="I56" i="7"/>
  <c r="V56" i="3"/>
  <c r="Z56" i="3" s="1"/>
  <c r="W56" i="3"/>
  <c r="X56" i="3"/>
  <c r="I57" i="7"/>
  <c r="V57" i="3"/>
  <c r="W57" i="3"/>
  <c r="AA57" i="3" s="1"/>
  <c r="X57" i="3"/>
  <c r="I58" i="7"/>
  <c r="V58" i="3"/>
  <c r="W58" i="3"/>
  <c r="X58" i="3"/>
  <c r="I59" i="7"/>
  <c r="V59" i="3"/>
  <c r="W59" i="3"/>
  <c r="X59" i="3"/>
  <c r="I60" i="7"/>
  <c r="V60" i="3"/>
  <c r="Z60" i="3" s="1"/>
  <c r="W60" i="3"/>
  <c r="X60" i="3"/>
  <c r="I61" i="7"/>
  <c r="V61" i="3"/>
  <c r="W61" i="3"/>
  <c r="AA61" i="3" s="1"/>
  <c r="X61" i="3"/>
  <c r="I62" i="7"/>
  <c r="V62" i="3"/>
  <c r="W62" i="3"/>
  <c r="X62" i="3"/>
  <c r="I63" i="7"/>
  <c r="V63" i="3"/>
  <c r="W63" i="3"/>
  <c r="X63" i="3"/>
  <c r="I64" i="7"/>
  <c r="V64" i="3"/>
  <c r="Z64" i="3" s="1"/>
  <c r="W64" i="3"/>
  <c r="X64" i="3"/>
  <c r="I65" i="7"/>
  <c r="V65" i="3"/>
  <c r="W65" i="3"/>
  <c r="AA65" i="3" s="1"/>
  <c r="X65" i="3"/>
  <c r="I66" i="7"/>
  <c r="V66" i="3"/>
  <c r="W66" i="3"/>
  <c r="X66" i="3"/>
  <c r="I67" i="7"/>
  <c r="V67" i="3"/>
  <c r="W67" i="3"/>
  <c r="X67" i="3"/>
  <c r="I68" i="7"/>
  <c r="V68" i="3"/>
  <c r="Z68" i="3" s="1"/>
  <c r="W68" i="3"/>
  <c r="X68" i="3"/>
  <c r="I69" i="7"/>
  <c r="V69" i="3"/>
  <c r="W69" i="3"/>
  <c r="AA69" i="3" s="1"/>
  <c r="X69" i="3"/>
  <c r="I70" i="7"/>
  <c r="V70" i="3"/>
  <c r="W70" i="3"/>
  <c r="X70" i="3"/>
  <c r="I71" i="7"/>
  <c r="V71" i="3"/>
  <c r="W71" i="3"/>
  <c r="X71" i="3"/>
  <c r="I72" i="7"/>
  <c r="V72" i="3"/>
  <c r="Z72" i="3" s="1"/>
  <c r="W72" i="3"/>
  <c r="X72" i="3"/>
  <c r="I73" i="7"/>
  <c r="V73" i="3"/>
  <c r="W73" i="3"/>
  <c r="AA73" i="3" s="1"/>
  <c r="X73" i="3"/>
  <c r="I74" i="7"/>
  <c r="V74" i="3"/>
  <c r="W74" i="3"/>
  <c r="X74" i="3"/>
  <c r="I75" i="7"/>
  <c r="V75" i="3"/>
  <c r="W75" i="3"/>
  <c r="X75" i="3"/>
  <c r="I76" i="7"/>
  <c r="V76" i="3"/>
  <c r="Z76" i="3" s="1"/>
  <c r="W76" i="3"/>
  <c r="X76" i="3"/>
  <c r="I77" i="7"/>
  <c r="V77" i="3"/>
  <c r="W77" i="3"/>
  <c r="AA77" i="3" s="1"/>
  <c r="X77" i="3"/>
  <c r="I78" i="7"/>
  <c r="V78" i="3"/>
  <c r="W78" i="3"/>
  <c r="X78" i="3"/>
  <c r="I79" i="7"/>
  <c r="V79" i="3"/>
  <c r="W79" i="3"/>
  <c r="X79" i="3"/>
  <c r="I80" i="7"/>
  <c r="V80" i="3"/>
  <c r="Z80" i="3" s="1"/>
  <c r="W80" i="3"/>
  <c r="X80" i="3"/>
  <c r="I81" i="7"/>
  <c r="V81" i="3"/>
  <c r="W81" i="3"/>
  <c r="AA81" i="3" s="1"/>
  <c r="X81" i="3"/>
  <c r="I82" i="7"/>
  <c r="V82" i="3"/>
  <c r="W82" i="3"/>
  <c r="X82" i="3"/>
  <c r="I83" i="7"/>
  <c r="V83" i="3"/>
  <c r="W83" i="3"/>
  <c r="X83" i="3"/>
  <c r="I84" i="7"/>
  <c r="V84" i="3"/>
  <c r="Z84" i="3" s="1"/>
  <c r="W84" i="3"/>
  <c r="X84" i="3"/>
  <c r="I85" i="7"/>
  <c r="V85" i="3"/>
  <c r="W85" i="3"/>
  <c r="AA85" i="3" s="1"/>
  <c r="X85" i="3"/>
  <c r="AB85" i="3" s="1"/>
  <c r="I86" i="7"/>
  <c r="V86" i="3"/>
  <c r="W86" i="3"/>
  <c r="X86" i="3"/>
  <c r="I87" i="7"/>
  <c r="V87" i="3"/>
  <c r="Z87" i="3" s="1"/>
  <c r="W87" i="3"/>
  <c r="X87" i="3"/>
  <c r="I88" i="7"/>
  <c r="V88" i="3"/>
  <c r="W88" i="3"/>
  <c r="AA88" i="3" s="1"/>
  <c r="X88" i="3"/>
  <c r="I89" i="7"/>
  <c r="V89" i="3"/>
  <c r="W89" i="3"/>
  <c r="X89" i="3"/>
  <c r="I90" i="7"/>
  <c r="V90" i="3"/>
  <c r="Z90" i="3" s="1"/>
  <c r="W90" i="3"/>
  <c r="X90" i="3"/>
  <c r="I91" i="7"/>
  <c r="V91" i="3"/>
  <c r="Z91" i="3" s="1"/>
  <c r="W91" i="3"/>
  <c r="AA91" i="3" s="1"/>
  <c r="X91" i="3"/>
  <c r="I92" i="7"/>
  <c r="V92" i="3"/>
  <c r="W92" i="3"/>
  <c r="AA92" i="3" s="1"/>
  <c r="X92" i="3"/>
  <c r="I93" i="7"/>
  <c r="V93" i="3"/>
  <c r="W93" i="3"/>
  <c r="X93" i="3"/>
  <c r="I94" i="7"/>
  <c r="V94" i="3"/>
  <c r="W94" i="3"/>
  <c r="AA94" i="3" s="1"/>
  <c r="X94" i="3"/>
  <c r="I95" i="7"/>
  <c r="V95" i="3"/>
  <c r="W95" i="3"/>
  <c r="X95" i="3"/>
  <c r="I96" i="7"/>
  <c r="V96" i="3"/>
  <c r="Z96" i="3" s="1"/>
  <c r="W96" i="3"/>
  <c r="X96" i="3"/>
  <c r="I97" i="7"/>
  <c r="V97" i="3"/>
  <c r="Z97" i="3" s="1"/>
  <c r="W97" i="3"/>
  <c r="X97" i="3"/>
  <c r="I98" i="7"/>
  <c r="V98" i="3"/>
  <c r="W98" i="3"/>
  <c r="AA98" i="3" s="1"/>
  <c r="X98" i="3"/>
  <c r="I99" i="7"/>
  <c r="V99" i="3"/>
  <c r="W99" i="3"/>
  <c r="X99" i="3"/>
  <c r="I100" i="7"/>
  <c r="V100" i="3"/>
  <c r="Z100" i="3" s="1"/>
  <c r="W100" i="3"/>
  <c r="X100" i="3"/>
  <c r="I101" i="7"/>
  <c r="V101" i="3"/>
  <c r="Z101" i="3" s="1"/>
  <c r="W101" i="3"/>
  <c r="AA101" i="3" s="1"/>
  <c r="X101" i="3"/>
  <c r="I102" i="7"/>
  <c r="V102" i="3"/>
  <c r="W102" i="3"/>
  <c r="X102" i="3"/>
  <c r="I103" i="7"/>
  <c r="V103" i="3"/>
  <c r="Z103" i="3" s="1"/>
  <c r="W103" i="3"/>
  <c r="X103" i="3"/>
  <c r="I104" i="7"/>
  <c r="V104" i="3"/>
  <c r="Z104" i="3" s="1"/>
  <c r="W104" i="3"/>
  <c r="X104" i="3"/>
  <c r="I105" i="7"/>
  <c r="V105" i="3"/>
  <c r="W105" i="3"/>
  <c r="X105" i="3"/>
  <c r="I106" i="7"/>
  <c r="V106" i="3"/>
  <c r="W106" i="3"/>
  <c r="X106" i="3"/>
  <c r="I107" i="7"/>
  <c r="V107" i="3"/>
  <c r="Z107" i="3" s="1"/>
  <c r="W107" i="3"/>
  <c r="X107" i="3"/>
  <c r="I108" i="7"/>
  <c r="V108" i="3"/>
  <c r="W108" i="3"/>
  <c r="X108" i="3"/>
  <c r="I109" i="7"/>
  <c r="V109" i="3"/>
  <c r="W109" i="3"/>
  <c r="X109" i="3"/>
  <c r="I110" i="7"/>
  <c r="V110" i="3"/>
  <c r="W110" i="3"/>
  <c r="X110" i="3"/>
  <c r="I111" i="7"/>
  <c r="V111" i="3"/>
  <c r="Z111" i="3" s="1"/>
  <c r="W111" i="3"/>
  <c r="AA111" i="3" s="1"/>
  <c r="X111" i="3"/>
  <c r="I112" i="7"/>
  <c r="V112" i="3"/>
  <c r="W112" i="3"/>
  <c r="X112" i="3"/>
  <c r="I113" i="7"/>
  <c r="V113" i="3"/>
  <c r="W113" i="3"/>
  <c r="X113" i="3"/>
  <c r="I114" i="7"/>
  <c r="V114" i="3"/>
  <c r="W114" i="3"/>
  <c r="X114" i="3"/>
  <c r="I115" i="7"/>
  <c r="V115" i="3"/>
  <c r="Z115" i="3" s="1"/>
  <c r="W115" i="3"/>
  <c r="X115" i="3"/>
  <c r="I116" i="7"/>
  <c r="V116" i="3"/>
  <c r="W116" i="3"/>
  <c r="X116" i="3"/>
  <c r="I117" i="7"/>
  <c r="V117" i="3"/>
  <c r="W117" i="3"/>
  <c r="X117" i="3"/>
  <c r="I118" i="7"/>
  <c r="V118" i="3"/>
  <c r="Z118" i="3" s="1"/>
  <c r="W118" i="3"/>
  <c r="X118" i="3"/>
  <c r="I119" i="7"/>
  <c r="V119" i="3"/>
  <c r="Z119" i="3" s="1"/>
  <c r="W119" i="3"/>
  <c r="X119" i="3"/>
  <c r="I120" i="7"/>
  <c r="V120" i="3"/>
  <c r="W120" i="3"/>
  <c r="X120" i="3"/>
  <c r="I121" i="7"/>
  <c r="V121" i="3"/>
  <c r="W121" i="3"/>
  <c r="X121" i="3"/>
  <c r="I122" i="7"/>
  <c r="V122" i="3"/>
  <c r="W122" i="3"/>
  <c r="X122" i="3"/>
  <c r="I123" i="7"/>
  <c r="V123" i="3"/>
  <c r="Z123" i="3" s="1"/>
  <c r="W123" i="3"/>
  <c r="X123" i="3"/>
  <c r="I124" i="7"/>
  <c r="V124" i="3"/>
  <c r="W124" i="3"/>
  <c r="X124" i="3"/>
  <c r="I125" i="7"/>
  <c r="V125" i="3"/>
  <c r="W125" i="3"/>
  <c r="X125" i="3"/>
  <c r="I126" i="7"/>
  <c r="V126" i="3"/>
  <c r="W126" i="3"/>
  <c r="X126" i="3"/>
  <c r="I127" i="7"/>
  <c r="V127" i="3"/>
  <c r="Z127" i="3" s="1"/>
  <c r="W127" i="3"/>
  <c r="AA127" i="3" s="1"/>
  <c r="X127" i="3"/>
  <c r="AB127" i="3" s="1"/>
  <c r="I129" i="7"/>
  <c r="V129" i="3"/>
  <c r="W129" i="3"/>
  <c r="AA129" i="3" s="1"/>
  <c r="X129" i="3"/>
  <c r="I130" i="7"/>
  <c r="V130" i="3"/>
  <c r="W130" i="3"/>
  <c r="X130" i="3"/>
  <c r="I131" i="7"/>
  <c r="V131" i="3"/>
  <c r="W131" i="3"/>
  <c r="X131" i="3"/>
  <c r="I132" i="7"/>
  <c r="V132" i="3"/>
  <c r="W132" i="3"/>
  <c r="X132" i="3"/>
  <c r="I133" i="7"/>
  <c r="V133" i="3"/>
  <c r="W133" i="3"/>
  <c r="AA133" i="3" s="1"/>
  <c r="X133" i="3"/>
  <c r="I134" i="7"/>
  <c r="V134" i="3"/>
  <c r="W134" i="3"/>
  <c r="X134" i="3"/>
  <c r="I135" i="7"/>
  <c r="V135" i="3"/>
  <c r="W135" i="3"/>
  <c r="X135" i="3"/>
  <c r="I136" i="7"/>
  <c r="V136" i="3"/>
  <c r="W136" i="3"/>
  <c r="X136" i="3"/>
  <c r="I137" i="7"/>
  <c r="V137" i="3"/>
  <c r="W137" i="3"/>
  <c r="AA137" i="3" s="1"/>
  <c r="X137" i="3"/>
  <c r="I138" i="7"/>
  <c r="V138" i="3"/>
  <c r="W138" i="3"/>
  <c r="X138" i="3"/>
  <c r="I139" i="7"/>
  <c r="V139" i="3"/>
  <c r="Z139" i="3" s="1"/>
  <c r="W139" i="3"/>
  <c r="X139" i="3"/>
  <c r="I140" i="7"/>
  <c r="V140" i="3"/>
  <c r="Z140" i="3" s="1"/>
  <c r="W140" i="3"/>
  <c r="AA140" i="3" s="1"/>
  <c r="X140" i="3"/>
  <c r="I141" i="7"/>
  <c r="V141" i="3"/>
  <c r="W141" i="3"/>
  <c r="X141" i="3"/>
  <c r="I142" i="7"/>
  <c r="V142" i="3"/>
  <c r="W142" i="3"/>
  <c r="X142" i="3"/>
  <c r="I143" i="7"/>
  <c r="V143" i="3"/>
  <c r="W143" i="3"/>
  <c r="X143" i="3"/>
  <c r="I144" i="7"/>
  <c r="V144" i="3"/>
  <c r="W144" i="3"/>
  <c r="AA144" i="3" s="1"/>
  <c r="X144" i="3"/>
  <c r="I145" i="7"/>
  <c r="V145" i="3"/>
  <c r="W145" i="3"/>
  <c r="AA145" i="3" s="1"/>
  <c r="X145" i="3"/>
  <c r="I146" i="7"/>
  <c r="V146" i="3"/>
  <c r="W146" i="3"/>
  <c r="X146" i="3"/>
  <c r="I147" i="7"/>
  <c r="V147" i="3"/>
  <c r="W147" i="3"/>
  <c r="X147" i="3"/>
  <c r="I148" i="7"/>
  <c r="V148" i="3"/>
  <c r="Z148" i="3" s="1"/>
  <c r="W148" i="3"/>
  <c r="AA148" i="3" s="1"/>
  <c r="X148" i="3"/>
  <c r="I149" i="7"/>
  <c r="V149" i="3"/>
  <c r="W149" i="3"/>
  <c r="X149" i="3"/>
  <c r="I150" i="7"/>
  <c r="V150" i="3"/>
  <c r="W150" i="3"/>
  <c r="X150" i="3"/>
  <c r="I151" i="7"/>
  <c r="V151" i="3"/>
  <c r="W151" i="3"/>
  <c r="X151" i="3"/>
  <c r="I152" i="7"/>
  <c r="V152" i="3"/>
  <c r="W152" i="3"/>
  <c r="AA152" i="3" s="1"/>
  <c r="X152" i="3"/>
  <c r="I153" i="7"/>
  <c r="V153" i="3"/>
  <c r="W153" i="3"/>
  <c r="AA153" i="3" s="1"/>
  <c r="X153" i="3"/>
  <c r="I154" i="7"/>
  <c r="V154" i="3"/>
  <c r="W154" i="3"/>
  <c r="X154" i="3"/>
  <c r="I155" i="7"/>
  <c r="V155" i="3"/>
  <c r="W155" i="3"/>
  <c r="X155" i="3"/>
  <c r="I156" i="7"/>
  <c r="V156" i="3"/>
  <c r="Z156" i="3" s="1"/>
  <c r="W156" i="3"/>
  <c r="AA156" i="3" s="1"/>
  <c r="X156" i="3"/>
  <c r="I157" i="7"/>
  <c r="V157" i="3"/>
  <c r="W157" i="3"/>
  <c r="X157" i="3"/>
  <c r="I158" i="7"/>
  <c r="V158" i="3"/>
  <c r="W158" i="3"/>
  <c r="X158" i="3"/>
  <c r="I159" i="7"/>
  <c r="V159" i="3"/>
  <c r="W159" i="3"/>
  <c r="X159" i="3"/>
  <c r="I160" i="7"/>
  <c r="V160" i="3"/>
  <c r="W160" i="3"/>
  <c r="AA160" i="3" s="1"/>
  <c r="X160" i="3"/>
  <c r="I161" i="7"/>
  <c r="V161" i="3"/>
  <c r="W161" i="3"/>
  <c r="AA161" i="3" s="1"/>
  <c r="X161" i="3"/>
  <c r="I162" i="7"/>
  <c r="V162" i="3"/>
  <c r="W162" i="3"/>
  <c r="X162" i="3"/>
  <c r="I163" i="7"/>
  <c r="V163" i="3"/>
  <c r="W163" i="3"/>
  <c r="X163" i="3"/>
  <c r="I164" i="7"/>
  <c r="V164" i="3"/>
  <c r="Z164" i="3" s="1"/>
  <c r="W164" i="3"/>
  <c r="AA164" i="3" s="1"/>
  <c r="X164" i="3"/>
  <c r="I165" i="7"/>
  <c r="V165" i="3"/>
  <c r="W165" i="3"/>
  <c r="X165" i="3"/>
  <c r="I166" i="7"/>
  <c r="V166" i="3"/>
  <c r="W166" i="3"/>
  <c r="X166" i="3"/>
  <c r="I167" i="7"/>
  <c r="V167" i="3"/>
  <c r="W167" i="3"/>
  <c r="X167" i="3"/>
  <c r="I168" i="7"/>
  <c r="V168" i="3"/>
  <c r="W168" i="3"/>
  <c r="AA168" i="3" s="1"/>
  <c r="X168" i="3"/>
  <c r="I169" i="7"/>
  <c r="V169" i="3"/>
  <c r="W169" i="3"/>
  <c r="AA169" i="3" s="1"/>
  <c r="X169" i="3"/>
  <c r="I170" i="7"/>
  <c r="V170" i="3"/>
  <c r="W170" i="3"/>
  <c r="X170" i="3"/>
  <c r="I171" i="7"/>
  <c r="V171" i="3"/>
  <c r="W171" i="3"/>
  <c r="X171" i="3"/>
  <c r="I172" i="7"/>
  <c r="V172" i="3"/>
  <c r="Z172" i="3" s="1"/>
  <c r="W172" i="3"/>
  <c r="AA172" i="3" s="1"/>
  <c r="X172" i="3"/>
  <c r="I173" i="7"/>
  <c r="V173" i="3"/>
  <c r="W173" i="3"/>
  <c r="X173" i="3"/>
  <c r="I174" i="7"/>
  <c r="V174" i="3"/>
  <c r="W174" i="3"/>
  <c r="X174" i="3"/>
  <c r="I175" i="7"/>
  <c r="V175" i="3"/>
  <c r="W175" i="3"/>
  <c r="X175" i="3"/>
  <c r="I176" i="7"/>
  <c r="V176" i="3"/>
  <c r="W176" i="3"/>
  <c r="AA176" i="3" s="1"/>
  <c r="X176" i="3"/>
  <c r="I177" i="7"/>
  <c r="V177" i="3"/>
  <c r="W177" i="3"/>
  <c r="AA177" i="3" s="1"/>
  <c r="X177" i="3"/>
  <c r="I178" i="7"/>
  <c r="V178" i="3"/>
  <c r="W178" i="3"/>
  <c r="X178" i="3"/>
  <c r="I179" i="7"/>
  <c r="V179" i="3"/>
  <c r="W179" i="3"/>
  <c r="X179" i="3"/>
  <c r="I180" i="7"/>
  <c r="V180" i="3"/>
  <c r="Z180" i="3" s="1"/>
  <c r="W180" i="3"/>
  <c r="AA180" i="3" s="1"/>
  <c r="X180" i="3"/>
  <c r="I181" i="7"/>
  <c r="V181" i="3"/>
  <c r="W181" i="3"/>
  <c r="X181" i="3"/>
  <c r="I182" i="7"/>
  <c r="V182" i="3"/>
  <c r="W182" i="3"/>
  <c r="X182" i="3"/>
  <c r="I183" i="7"/>
  <c r="V183" i="3"/>
  <c r="W183" i="3"/>
  <c r="X183" i="3"/>
  <c r="I184" i="7"/>
  <c r="V184" i="3"/>
  <c r="W184" i="3"/>
  <c r="AA184" i="3" s="1"/>
  <c r="X184" i="3"/>
  <c r="I185" i="7"/>
  <c r="V185" i="3"/>
  <c r="W185" i="3"/>
  <c r="AA185" i="3" s="1"/>
  <c r="X185" i="3"/>
  <c r="I186" i="7"/>
  <c r="V186" i="3"/>
  <c r="W186" i="3"/>
  <c r="X186" i="3"/>
  <c r="I187" i="7"/>
  <c r="V187" i="3"/>
  <c r="W187" i="3"/>
  <c r="X187" i="3"/>
  <c r="I188" i="7"/>
  <c r="V188" i="3"/>
  <c r="Z188" i="3" s="1"/>
  <c r="W188" i="3"/>
  <c r="AA188" i="3" s="1"/>
  <c r="X188" i="3"/>
  <c r="I189" i="7"/>
  <c r="V189" i="3"/>
  <c r="W189" i="3"/>
  <c r="X189" i="3"/>
  <c r="I190" i="7"/>
  <c r="V190" i="3"/>
  <c r="W190" i="3"/>
  <c r="X190" i="3"/>
  <c r="I191" i="7"/>
  <c r="V191" i="3"/>
  <c r="W191" i="3"/>
  <c r="X191" i="3"/>
  <c r="I192" i="7"/>
  <c r="V192" i="3"/>
  <c r="W192" i="3"/>
  <c r="AA192" i="3" s="1"/>
  <c r="X192" i="3"/>
  <c r="I193" i="7"/>
  <c r="V193" i="3"/>
  <c r="W193" i="3"/>
  <c r="AA193" i="3" s="1"/>
  <c r="X193" i="3"/>
  <c r="I194" i="7"/>
  <c r="V194" i="3"/>
  <c r="W194" i="3"/>
  <c r="X194" i="3"/>
  <c r="I195" i="7"/>
  <c r="V195" i="3"/>
  <c r="W195" i="3"/>
  <c r="X195" i="3"/>
  <c r="I259" i="7"/>
  <c r="V259" i="3"/>
  <c r="Z259" i="3" s="1"/>
  <c r="W259" i="3"/>
  <c r="AA259" i="3" s="1"/>
  <c r="X259" i="3"/>
  <c r="I196" i="7"/>
  <c r="V196" i="3"/>
  <c r="W196" i="3"/>
  <c r="X196" i="3"/>
  <c r="I197" i="7"/>
  <c r="V197" i="3"/>
  <c r="W197" i="3"/>
  <c r="X197" i="3"/>
  <c r="I198" i="7"/>
  <c r="V198" i="3"/>
  <c r="W198" i="3"/>
  <c r="X198" i="3"/>
  <c r="I199" i="7"/>
  <c r="V199" i="3"/>
  <c r="W199" i="3"/>
  <c r="AA199" i="3" s="1"/>
  <c r="X199" i="3"/>
  <c r="I200" i="7"/>
  <c r="V200" i="3"/>
  <c r="W200" i="3"/>
  <c r="AA200" i="3" s="1"/>
  <c r="X200" i="3"/>
  <c r="I201" i="7"/>
  <c r="V201" i="3"/>
  <c r="W201" i="3"/>
  <c r="X201" i="3"/>
  <c r="I202" i="7"/>
  <c r="V202" i="3"/>
  <c r="W202" i="3"/>
  <c r="X202" i="3"/>
  <c r="I203" i="7"/>
  <c r="V203" i="3"/>
  <c r="Z203" i="3" s="1"/>
  <c r="W203" i="3"/>
  <c r="AA203" i="3" s="1"/>
  <c r="X203" i="3"/>
  <c r="I204" i="7"/>
  <c r="V204" i="3"/>
  <c r="W204" i="3"/>
  <c r="X204" i="3"/>
  <c r="I205" i="7"/>
  <c r="V205" i="3"/>
  <c r="W205" i="3"/>
  <c r="X205" i="3"/>
  <c r="I206" i="7"/>
  <c r="V206" i="3"/>
  <c r="W206" i="3"/>
  <c r="X206" i="3"/>
  <c r="I207" i="7"/>
  <c r="V207" i="3"/>
  <c r="W207" i="3"/>
  <c r="AA207" i="3" s="1"/>
  <c r="X207" i="3"/>
  <c r="I208" i="7"/>
  <c r="V208" i="3"/>
  <c r="W208" i="3"/>
  <c r="AA208" i="3" s="1"/>
  <c r="X208" i="3"/>
  <c r="I209" i="7"/>
  <c r="V209" i="3"/>
  <c r="W209" i="3"/>
  <c r="X209" i="3"/>
  <c r="I210" i="7"/>
  <c r="V210" i="3"/>
  <c r="W210" i="3"/>
  <c r="X210" i="3"/>
  <c r="I211" i="7"/>
  <c r="V211" i="3"/>
  <c r="Z211" i="3" s="1"/>
  <c r="W211" i="3"/>
  <c r="AA211" i="3" s="1"/>
  <c r="X211" i="3"/>
  <c r="I212" i="7"/>
  <c r="V212" i="3"/>
  <c r="W212" i="3"/>
  <c r="X212" i="3"/>
  <c r="I213" i="7"/>
  <c r="V213" i="3"/>
  <c r="W213" i="3"/>
  <c r="X213" i="3"/>
  <c r="I214" i="7"/>
  <c r="V214" i="3"/>
  <c r="W214" i="3"/>
  <c r="X214" i="3"/>
  <c r="I215" i="7"/>
  <c r="V215" i="3"/>
  <c r="W215" i="3"/>
  <c r="AA215" i="3" s="1"/>
  <c r="X215" i="3"/>
  <c r="I216" i="7"/>
  <c r="V216" i="3"/>
  <c r="W216" i="3"/>
  <c r="AA216" i="3" s="1"/>
  <c r="X216" i="3"/>
  <c r="I217" i="7"/>
  <c r="V217" i="3"/>
  <c r="W217" i="3"/>
  <c r="X217" i="3"/>
  <c r="I218" i="7"/>
  <c r="V218" i="3"/>
  <c r="W218" i="3"/>
  <c r="X218" i="3"/>
  <c r="I219" i="7"/>
  <c r="V219" i="3"/>
  <c r="W219" i="3"/>
  <c r="AA219" i="3" s="1"/>
  <c r="X219" i="3"/>
  <c r="I220" i="7"/>
  <c r="V220" i="3"/>
  <c r="W220" i="3"/>
  <c r="X220" i="3"/>
  <c r="I221" i="7"/>
  <c r="V221" i="3"/>
  <c r="W221" i="3"/>
  <c r="X221" i="3"/>
  <c r="I222" i="7"/>
  <c r="V222" i="3"/>
  <c r="W222" i="3"/>
  <c r="X222" i="3"/>
  <c r="I223" i="7"/>
  <c r="V223" i="3"/>
  <c r="W223" i="3"/>
  <c r="AA223" i="3" s="1"/>
  <c r="X223" i="3"/>
  <c r="I224" i="7"/>
  <c r="V224" i="3"/>
  <c r="W224" i="3"/>
  <c r="AA224" i="3" s="1"/>
  <c r="X224" i="3"/>
  <c r="I225" i="7"/>
  <c r="V225" i="3"/>
  <c r="W225" i="3"/>
  <c r="X225" i="3"/>
  <c r="I226" i="7"/>
  <c r="V226" i="3"/>
  <c r="W226" i="3"/>
  <c r="X226" i="3"/>
  <c r="I227" i="7"/>
  <c r="V227" i="3"/>
  <c r="W227" i="3"/>
  <c r="AA227" i="3" s="1"/>
  <c r="X227" i="3"/>
  <c r="I228" i="7"/>
  <c r="V228" i="3"/>
  <c r="W228" i="3"/>
  <c r="X228" i="3"/>
  <c r="I229" i="7"/>
  <c r="V229" i="3"/>
  <c r="W229" i="3"/>
  <c r="X229" i="3"/>
  <c r="I230" i="7"/>
  <c r="V230" i="3"/>
  <c r="W230" i="3"/>
  <c r="X230" i="3"/>
  <c r="I231" i="7"/>
  <c r="V231" i="3"/>
  <c r="W231" i="3"/>
  <c r="AA231" i="3" s="1"/>
  <c r="X231" i="3"/>
  <c r="I232" i="7"/>
  <c r="V232" i="3"/>
  <c r="W232" i="3"/>
  <c r="AA232" i="3" s="1"/>
  <c r="X232" i="3"/>
  <c r="I234" i="7"/>
  <c r="V234" i="3"/>
  <c r="W234" i="3"/>
  <c r="X234" i="3"/>
  <c r="I235" i="7"/>
  <c r="V235" i="3"/>
  <c r="W235" i="3"/>
  <c r="X235" i="3"/>
  <c r="I236" i="7"/>
  <c r="V236" i="3"/>
  <c r="W236" i="3"/>
  <c r="AA236" i="3" s="1"/>
  <c r="X236" i="3"/>
  <c r="I237" i="7"/>
  <c r="V237" i="3"/>
  <c r="W237" i="3"/>
  <c r="X237" i="3"/>
  <c r="I238" i="7"/>
  <c r="V238" i="3"/>
  <c r="W238" i="3"/>
  <c r="X238" i="3"/>
  <c r="I239" i="7"/>
  <c r="V239" i="3"/>
  <c r="W239" i="3"/>
  <c r="X239" i="3"/>
  <c r="I240" i="7"/>
  <c r="V240" i="3"/>
  <c r="W240" i="3"/>
  <c r="AA240" i="3" s="1"/>
  <c r="X240" i="3"/>
  <c r="I241" i="7"/>
  <c r="V241" i="3"/>
  <c r="W241" i="3"/>
  <c r="AA241" i="3" s="1"/>
  <c r="X241" i="3"/>
  <c r="I242" i="7"/>
  <c r="V242" i="3"/>
  <c r="W242" i="3"/>
  <c r="X242" i="3"/>
  <c r="I243" i="7"/>
  <c r="V243" i="3"/>
  <c r="W243" i="3"/>
  <c r="X243" i="3"/>
  <c r="I244" i="7"/>
  <c r="V244" i="3"/>
  <c r="W244" i="3"/>
  <c r="AA244" i="3" s="1"/>
  <c r="X244" i="3"/>
  <c r="I245" i="7"/>
  <c r="V245" i="3"/>
  <c r="W245" i="3"/>
  <c r="X245" i="3"/>
  <c r="I246" i="7"/>
  <c r="V246" i="3"/>
  <c r="W246" i="3"/>
  <c r="X246" i="3"/>
  <c r="I247" i="7"/>
  <c r="V247" i="3"/>
  <c r="W247" i="3"/>
  <c r="X247" i="3"/>
  <c r="I248" i="7"/>
  <c r="V248" i="3"/>
  <c r="W248" i="3"/>
  <c r="AA248" i="3" s="1"/>
  <c r="X248" i="3"/>
  <c r="I249" i="7"/>
  <c r="V249" i="3"/>
  <c r="W249" i="3"/>
  <c r="AA249" i="3" s="1"/>
  <c r="X249" i="3"/>
  <c r="I250" i="7"/>
  <c r="V250" i="3"/>
  <c r="W250" i="3"/>
  <c r="X250" i="3"/>
  <c r="I251" i="7"/>
  <c r="V251" i="3"/>
  <c r="W251" i="3"/>
  <c r="X251" i="3"/>
  <c r="I252" i="7"/>
  <c r="V252" i="3"/>
  <c r="W252" i="3"/>
  <c r="AA252" i="3" s="1"/>
  <c r="X252" i="3"/>
  <c r="I253" i="7"/>
  <c r="V253" i="3"/>
  <c r="W253" i="3"/>
  <c r="X253" i="3"/>
  <c r="I254" i="7"/>
  <c r="V254" i="3"/>
  <c r="W254" i="3"/>
  <c r="X254" i="3"/>
  <c r="I255" i="7"/>
  <c r="V255" i="3"/>
  <c r="W255" i="3"/>
  <c r="X255" i="3"/>
  <c r="I256" i="7"/>
  <c r="V256" i="3"/>
  <c r="W256" i="3"/>
  <c r="AA256" i="3" s="1"/>
  <c r="X256" i="3"/>
  <c r="I257" i="7"/>
  <c r="V257" i="3"/>
  <c r="W257" i="3"/>
  <c r="AA257" i="3" s="1"/>
  <c r="X257" i="3"/>
  <c r="I258" i="7"/>
  <c r="V258" i="3"/>
  <c r="W258" i="3"/>
  <c r="X258" i="3"/>
  <c r="I260" i="7"/>
  <c r="V260" i="3"/>
  <c r="W260" i="3"/>
  <c r="X260" i="3"/>
  <c r="I261" i="7"/>
  <c r="V261" i="3"/>
  <c r="W261" i="3"/>
  <c r="AA261" i="3" s="1"/>
  <c r="X261" i="3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259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60" i="5"/>
  <c r="J261" i="5"/>
  <c r="G127" i="7"/>
  <c r="O262" i="1"/>
  <c r="O264" i="1" s="1"/>
  <c r="E262" i="5"/>
  <c r="E264" i="5" s="1"/>
  <c r="G202" i="7"/>
  <c r="K262" i="3"/>
  <c r="K264" i="3" s="1"/>
  <c r="J262" i="3"/>
  <c r="J264" i="3" s="1"/>
  <c r="I262" i="3"/>
  <c r="I264" i="3" s="1"/>
  <c r="H262" i="3"/>
  <c r="H264" i="3" s="1"/>
  <c r="G162" i="7"/>
  <c r="D262" i="2"/>
  <c r="D264" i="2" s="1"/>
  <c r="D267" i="2" s="1"/>
  <c r="C262" i="2"/>
  <c r="C264" i="2" s="1"/>
  <c r="E262" i="7"/>
  <c r="E264" i="7" s="1"/>
  <c r="D262" i="7"/>
  <c r="D264" i="7" s="1"/>
  <c r="R262" i="1"/>
  <c r="R264" i="1" s="1"/>
  <c r="D262" i="5"/>
  <c r="D264" i="5" s="1"/>
  <c r="C262" i="5"/>
  <c r="C264" i="5" s="1"/>
  <c r="P270" i="1"/>
  <c r="F262" i="7"/>
  <c r="F264" i="7" s="1"/>
  <c r="G62" i="7"/>
  <c r="P269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4" i="7"/>
  <c r="G90" i="7"/>
  <c r="G93" i="7"/>
  <c r="G91" i="7"/>
  <c r="G92" i="7"/>
  <c r="G95" i="7"/>
  <c r="G96" i="7"/>
  <c r="G97" i="7"/>
  <c r="G98" i="7"/>
  <c r="G99" i="7"/>
  <c r="G100" i="7"/>
  <c r="G102" i="7"/>
  <c r="G103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5" i="7"/>
  <c r="G126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229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259" i="7"/>
  <c r="G196" i="7"/>
  <c r="G197" i="7"/>
  <c r="G198" i="7"/>
  <c r="G199" i="7"/>
  <c r="G200" i="7"/>
  <c r="G143" i="7"/>
  <c r="G201" i="7"/>
  <c r="G203" i="7"/>
  <c r="G204" i="7"/>
  <c r="G205" i="7"/>
  <c r="G206" i="7"/>
  <c r="G207" i="7"/>
  <c r="G208" i="7"/>
  <c r="G209" i="7"/>
  <c r="G210" i="7"/>
  <c r="G213" i="7"/>
  <c r="G214" i="7"/>
  <c r="G211" i="7"/>
  <c r="G212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30" i="7"/>
  <c r="G231" i="7"/>
  <c r="G232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60" i="7"/>
  <c r="G261" i="7"/>
  <c r="P267" i="1"/>
  <c r="P268" i="1"/>
  <c r="O272" i="1"/>
  <c r="F264" i="2" l="1"/>
  <c r="AB261" i="3"/>
  <c r="AB227" i="3"/>
  <c r="AB219" i="3"/>
  <c r="AB211" i="3"/>
  <c r="AD211" i="3" s="1"/>
  <c r="J211" i="7" s="1"/>
  <c r="K211" i="7" s="1"/>
  <c r="L211" i="7" s="1"/>
  <c r="P211" i="7" s="1"/>
  <c r="AB180" i="3"/>
  <c r="AD180" i="3" s="1"/>
  <c r="J180" i="7" s="1"/>
  <c r="K180" i="7" s="1"/>
  <c r="L180" i="7" s="1"/>
  <c r="P180" i="7" s="1"/>
  <c r="AB172" i="3"/>
  <c r="AD172" i="3" s="1"/>
  <c r="J172" i="7" s="1"/>
  <c r="K172" i="7" s="1"/>
  <c r="L172" i="7" s="1"/>
  <c r="P172" i="7" s="1"/>
  <c r="AB148" i="3"/>
  <c r="AD148" i="3" s="1"/>
  <c r="J148" i="7" s="1"/>
  <c r="K148" i="7" s="1"/>
  <c r="L148" i="7" s="1"/>
  <c r="P148" i="7" s="1"/>
  <c r="AB65" i="3"/>
  <c r="AB244" i="3"/>
  <c r="AB236" i="3"/>
  <c r="AB259" i="3"/>
  <c r="AD259" i="3" s="1"/>
  <c r="J259" i="7" s="1"/>
  <c r="K259" i="7" s="1"/>
  <c r="L259" i="7" s="1"/>
  <c r="P259" i="7" s="1"/>
  <c r="AB73" i="3"/>
  <c r="AB252" i="3"/>
  <c r="AB203" i="3"/>
  <c r="AB188" i="3"/>
  <c r="AD188" i="3" s="1"/>
  <c r="J188" i="7" s="1"/>
  <c r="K188" i="7" s="1"/>
  <c r="L188" i="7" s="1"/>
  <c r="P188" i="7" s="1"/>
  <c r="AB164" i="3"/>
  <c r="AD164" i="3" s="1"/>
  <c r="J164" i="7" s="1"/>
  <c r="K164" i="7" s="1"/>
  <c r="L164" i="7" s="1"/>
  <c r="P164" i="7" s="1"/>
  <c r="AB81" i="3"/>
  <c r="AB57" i="3"/>
  <c r="AB41" i="3"/>
  <c r="AB33" i="3"/>
  <c r="AB126" i="3"/>
  <c r="AB118" i="3"/>
  <c r="AB110" i="3"/>
  <c r="AB102" i="3"/>
  <c r="AB98" i="3"/>
  <c r="AB94" i="3"/>
  <c r="AB92" i="3"/>
  <c r="AB88" i="3"/>
  <c r="AB29" i="3"/>
  <c r="AB21" i="3"/>
  <c r="AB133" i="3"/>
  <c r="AB122" i="3"/>
  <c r="AB114" i="3"/>
  <c r="AB25" i="3"/>
  <c r="AB17" i="3"/>
  <c r="AB106" i="3"/>
  <c r="AB77" i="3"/>
  <c r="AB69" i="3"/>
  <c r="AB61" i="3"/>
  <c r="AB159" i="3"/>
  <c r="AB151" i="3"/>
  <c r="AB143" i="3"/>
  <c r="AB124" i="3"/>
  <c r="AB104" i="3"/>
  <c r="AB100" i="3"/>
  <c r="AB96" i="3"/>
  <c r="AB254" i="3"/>
  <c r="AB246" i="3"/>
  <c r="AB238" i="3"/>
  <c r="AB229" i="3"/>
  <c r="AB221" i="3"/>
  <c r="AB213" i="3"/>
  <c r="AB205" i="3"/>
  <c r="AB197" i="3"/>
  <c r="AB190" i="3"/>
  <c r="AB182" i="3"/>
  <c r="AB174" i="3"/>
  <c r="AB166" i="3"/>
  <c r="AB158" i="3"/>
  <c r="AB150" i="3"/>
  <c r="AB142" i="3"/>
  <c r="AB137" i="3"/>
  <c r="AB129" i="3"/>
  <c r="AB101" i="3"/>
  <c r="AD101" i="3" s="1"/>
  <c r="J101" i="7" s="1"/>
  <c r="K101" i="7" s="1"/>
  <c r="L101" i="7" s="1"/>
  <c r="P101" i="7" s="1"/>
  <c r="AB23" i="3"/>
  <c r="AB27" i="3"/>
  <c r="AB139" i="3"/>
  <c r="AB135" i="3"/>
  <c r="AB131" i="3"/>
  <c r="AA104" i="3"/>
  <c r="AB125" i="3"/>
  <c r="AB121" i="3"/>
  <c r="AB117" i="3"/>
  <c r="AB113" i="3"/>
  <c r="AB109" i="3"/>
  <c r="AB105" i="3"/>
  <c r="AB103" i="3"/>
  <c r="AB99" i="3"/>
  <c r="AB95" i="3"/>
  <c r="AB93" i="3"/>
  <c r="AB89" i="3"/>
  <c r="AB82" i="3"/>
  <c r="AB78" i="3"/>
  <c r="AB74" i="3"/>
  <c r="AB70" i="3"/>
  <c r="AB66" i="3"/>
  <c r="AB62" i="3"/>
  <c r="AB58" i="3"/>
  <c r="AB54" i="3"/>
  <c r="AB42" i="3"/>
  <c r="AB38" i="3"/>
  <c r="AB34" i="3"/>
  <c r="AB30" i="3"/>
  <c r="AB26" i="3"/>
  <c r="AB22" i="3"/>
  <c r="AB18" i="3"/>
  <c r="AA97" i="3"/>
  <c r="AA87" i="3"/>
  <c r="AA84" i="3"/>
  <c r="AA80" i="3"/>
  <c r="AA76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A24" i="3"/>
  <c r="AA20" i="3"/>
  <c r="AA14" i="3"/>
  <c r="AA10" i="3"/>
  <c r="AA6" i="3"/>
  <c r="AB155" i="3"/>
  <c r="AB147" i="3"/>
  <c r="AA253" i="3"/>
  <c r="AA245" i="3"/>
  <c r="AA237" i="3"/>
  <c r="AA228" i="3"/>
  <c r="AA220" i="3"/>
  <c r="AA212" i="3"/>
  <c r="AA204" i="3"/>
  <c r="AA196" i="3"/>
  <c r="AA189" i="3"/>
  <c r="AA181" i="3"/>
  <c r="AA173" i="3"/>
  <c r="AA165" i="3"/>
  <c r="AA157" i="3"/>
  <c r="AA149" i="3"/>
  <c r="AA141" i="3"/>
  <c r="AB258" i="3"/>
  <c r="AB256" i="3"/>
  <c r="AB250" i="3"/>
  <c r="AB248" i="3"/>
  <c r="AB242" i="3"/>
  <c r="AB240" i="3"/>
  <c r="AB234" i="3"/>
  <c r="AB231" i="3"/>
  <c r="AB225" i="3"/>
  <c r="AB223" i="3"/>
  <c r="AB217" i="3"/>
  <c r="AB215" i="3"/>
  <c r="AB209" i="3"/>
  <c r="AB207" i="3"/>
  <c r="AB201" i="3"/>
  <c r="AB199" i="3"/>
  <c r="AB194" i="3"/>
  <c r="AB192" i="3"/>
  <c r="AB186" i="3"/>
  <c r="AB184" i="3"/>
  <c r="AB178" i="3"/>
  <c r="AB176" i="3"/>
  <c r="AB170" i="3"/>
  <c r="AB168" i="3"/>
  <c r="AB162" i="3"/>
  <c r="AB154" i="3"/>
  <c r="AB146" i="3"/>
  <c r="AA178" i="3"/>
  <c r="Z207" i="3"/>
  <c r="Z199" i="3"/>
  <c r="Z192" i="3"/>
  <c r="Z184" i="3"/>
  <c r="Z176" i="3"/>
  <c r="Z168" i="3"/>
  <c r="Z160" i="3"/>
  <c r="Z152" i="3"/>
  <c r="Z144" i="3"/>
  <c r="AB50" i="3"/>
  <c r="AB49" i="3"/>
  <c r="AB46" i="3"/>
  <c r="AB45" i="3"/>
  <c r="Z260" i="3"/>
  <c r="Z255" i="3"/>
  <c r="Z251" i="3"/>
  <c r="Z247" i="3"/>
  <c r="Z243" i="3"/>
  <c r="Z239" i="3"/>
  <c r="Z235" i="3"/>
  <c r="Z230" i="3"/>
  <c r="Z226" i="3"/>
  <c r="Z222" i="3"/>
  <c r="Z218" i="3"/>
  <c r="Z214" i="3"/>
  <c r="Z210" i="3"/>
  <c r="Z206" i="3"/>
  <c r="Z202" i="3"/>
  <c r="Z198" i="3"/>
  <c r="Z195" i="3"/>
  <c r="Z191" i="3"/>
  <c r="Z187" i="3"/>
  <c r="Z183" i="3"/>
  <c r="Z179" i="3"/>
  <c r="Z175" i="3"/>
  <c r="Z171" i="3"/>
  <c r="Z167" i="3"/>
  <c r="Z163" i="3"/>
  <c r="Z159" i="3"/>
  <c r="Z155" i="3"/>
  <c r="Z151" i="3"/>
  <c r="Z147" i="3"/>
  <c r="Z143" i="3"/>
  <c r="Z136" i="3"/>
  <c r="Z132" i="3"/>
  <c r="Z102" i="3"/>
  <c r="Z99" i="3"/>
  <c r="Z95" i="3"/>
  <c r="Z93" i="3"/>
  <c r="Z89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57" i="3"/>
  <c r="AB253" i="3"/>
  <c r="AB249" i="3"/>
  <c r="AB245" i="3"/>
  <c r="AB241" i="3"/>
  <c r="AB237" i="3"/>
  <c r="AB232" i="3"/>
  <c r="AB228" i="3"/>
  <c r="AB224" i="3"/>
  <c r="AB220" i="3"/>
  <c r="AB216" i="3"/>
  <c r="AB212" i="3"/>
  <c r="AB208" i="3"/>
  <c r="AB204" i="3"/>
  <c r="AB200" i="3"/>
  <c r="AB196" i="3"/>
  <c r="AB193" i="3"/>
  <c r="AB189" i="3"/>
  <c r="AB185" i="3"/>
  <c r="AB181" i="3"/>
  <c r="AB177" i="3"/>
  <c r="AB173" i="3"/>
  <c r="AB169" i="3"/>
  <c r="AB165" i="3"/>
  <c r="AB161" i="3"/>
  <c r="AB157" i="3"/>
  <c r="AB153" i="3"/>
  <c r="AB149" i="3"/>
  <c r="AB145" i="3"/>
  <c r="AB141" i="3"/>
  <c r="AB138" i="3"/>
  <c r="AB134" i="3"/>
  <c r="AB130" i="3"/>
  <c r="AB123" i="3"/>
  <c r="AB119" i="3"/>
  <c r="AB115" i="3"/>
  <c r="AB111" i="3"/>
  <c r="AD111" i="3" s="1"/>
  <c r="J111" i="7" s="1"/>
  <c r="K111" i="7" s="1"/>
  <c r="L111" i="7" s="1"/>
  <c r="P111" i="7" s="1"/>
  <c r="AB107" i="3"/>
  <c r="AB14" i="3"/>
  <c r="AB6" i="3"/>
  <c r="Z258" i="3"/>
  <c r="Z254" i="3"/>
  <c r="Z250" i="3"/>
  <c r="Z246" i="3"/>
  <c r="Z242" i="3"/>
  <c r="Z238" i="3"/>
  <c r="Z234" i="3"/>
  <c r="Z229" i="3"/>
  <c r="Z225" i="3"/>
  <c r="Z221" i="3"/>
  <c r="Z217" i="3"/>
  <c r="Z213" i="3"/>
  <c r="Z209" i="3"/>
  <c r="Z205" i="3"/>
  <c r="Z201" i="3"/>
  <c r="Z197" i="3"/>
  <c r="Z194" i="3"/>
  <c r="Z190" i="3"/>
  <c r="Z186" i="3"/>
  <c r="Z182" i="3"/>
  <c r="Z178" i="3"/>
  <c r="Z174" i="3"/>
  <c r="Z170" i="3"/>
  <c r="Z166" i="3"/>
  <c r="AA260" i="3"/>
  <c r="AA255" i="3"/>
  <c r="AA251" i="3"/>
  <c r="AA247" i="3"/>
  <c r="AA243" i="3"/>
  <c r="AA239" i="3"/>
  <c r="AA235" i="3"/>
  <c r="AA230" i="3"/>
  <c r="AA226" i="3"/>
  <c r="AA222" i="3"/>
  <c r="AA218" i="3"/>
  <c r="AA214" i="3"/>
  <c r="AA210" i="3"/>
  <c r="AA206" i="3"/>
  <c r="AA202" i="3"/>
  <c r="AA198" i="3"/>
  <c r="AA195" i="3"/>
  <c r="AA191" i="3"/>
  <c r="AA187" i="3"/>
  <c r="AA183" i="3"/>
  <c r="AA179" i="3"/>
  <c r="AA175" i="3"/>
  <c r="AA171" i="3"/>
  <c r="AA167" i="3"/>
  <c r="AA163" i="3"/>
  <c r="AA155" i="3"/>
  <c r="AA136" i="3"/>
  <c r="AA132" i="3"/>
  <c r="AA105" i="3"/>
  <c r="Z135" i="3"/>
  <c r="Z131" i="3"/>
  <c r="Z124" i="3"/>
  <c r="Z120" i="3"/>
  <c r="Z116" i="3"/>
  <c r="Z112" i="3"/>
  <c r="Z108" i="3"/>
  <c r="Z15" i="3"/>
  <c r="I262" i="7"/>
  <c r="I264" i="7" s="1"/>
  <c r="R161" i="3"/>
  <c r="R157" i="3"/>
  <c r="R49" i="3"/>
  <c r="R45" i="3"/>
  <c r="R41" i="3"/>
  <c r="R37" i="3"/>
  <c r="R33" i="3"/>
  <c r="R29" i="3"/>
  <c r="R25" i="3"/>
  <c r="Z86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1" i="3"/>
  <c r="R256" i="3"/>
  <c r="R252" i="3"/>
  <c r="R248" i="3"/>
  <c r="R244" i="3"/>
  <c r="R240" i="3"/>
  <c r="R236" i="3"/>
  <c r="R231" i="3"/>
  <c r="R227" i="3"/>
  <c r="R223" i="3"/>
  <c r="R219" i="3"/>
  <c r="R215" i="3"/>
  <c r="R211" i="3"/>
  <c r="R207" i="3"/>
  <c r="R203" i="3"/>
  <c r="R199" i="3"/>
  <c r="R259" i="3"/>
  <c r="R192" i="3"/>
  <c r="R188" i="3"/>
  <c r="R184" i="3"/>
  <c r="R180" i="3"/>
  <c r="R176" i="3"/>
  <c r="R172" i="3"/>
  <c r="R168" i="3"/>
  <c r="R164" i="3"/>
  <c r="Z215" i="3"/>
  <c r="Z261" i="3"/>
  <c r="Z256" i="3"/>
  <c r="Z252" i="3"/>
  <c r="Z248" i="3"/>
  <c r="Z244" i="3"/>
  <c r="Z240" i="3"/>
  <c r="Z236" i="3"/>
  <c r="AD236" i="3" s="1"/>
  <c r="J236" i="7" s="1"/>
  <c r="K236" i="7" s="1"/>
  <c r="L236" i="7" s="1"/>
  <c r="P236" i="7" s="1"/>
  <c r="Z231" i="3"/>
  <c r="Z227" i="3"/>
  <c r="Z223" i="3"/>
  <c r="Z219" i="3"/>
  <c r="AB210" i="3"/>
  <c r="AB187" i="3"/>
  <c r="Z14" i="3"/>
  <c r="Z10" i="3"/>
  <c r="Z6" i="3"/>
  <c r="AB251" i="3"/>
  <c r="AA217" i="3"/>
  <c r="Z161" i="3"/>
  <c r="Z157" i="3"/>
  <c r="Z153" i="3"/>
  <c r="Z149" i="3"/>
  <c r="Z145" i="3"/>
  <c r="Z141" i="3"/>
  <c r="Z137" i="3"/>
  <c r="Z133" i="3"/>
  <c r="Z129" i="3"/>
  <c r="Z125" i="3"/>
  <c r="Z121" i="3"/>
  <c r="Z117" i="3"/>
  <c r="Z113" i="3"/>
  <c r="Z109" i="3"/>
  <c r="Z105" i="3"/>
  <c r="Z85" i="3"/>
  <c r="AD85" i="3" s="1"/>
  <c r="J85" i="7" s="1"/>
  <c r="K85" i="7" s="1"/>
  <c r="L85" i="7" s="1"/>
  <c r="P85" i="7" s="1"/>
  <c r="Z81" i="3"/>
  <c r="Z77" i="3"/>
  <c r="Z73" i="3"/>
  <c r="Z69" i="3"/>
  <c r="Z49" i="3"/>
  <c r="Z45" i="3"/>
  <c r="Z41" i="3"/>
  <c r="Z37" i="3"/>
  <c r="AD37" i="3" s="1"/>
  <c r="J37" i="7" s="1"/>
  <c r="K37" i="7" s="1"/>
  <c r="L37" i="7" s="1"/>
  <c r="P37" i="7" s="1"/>
  <c r="AA11" i="3"/>
  <c r="AA7" i="3"/>
  <c r="AA242" i="3"/>
  <c r="AA162" i="3"/>
  <c r="AA158" i="3"/>
  <c r="AA154" i="3"/>
  <c r="AA150" i="3"/>
  <c r="AA146" i="3"/>
  <c r="AA142" i="3"/>
  <c r="AA138" i="3"/>
  <c r="AA134" i="3"/>
  <c r="AA130" i="3"/>
  <c r="AA122" i="3"/>
  <c r="AA114" i="3"/>
  <c r="AA106" i="3"/>
  <c r="AA66" i="3"/>
  <c r="AA62" i="3"/>
  <c r="AA58" i="3"/>
  <c r="AA34" i="3"/>
  <c r="AA30" i="3"/>
  <c r="AA15" i="3"/>
  <c r="R126" i="3"/>
  <c r="R122" i="3"/>
  <c r="R118" i="3"/>
  <c r="R114" i="3"/>
  <c r="R110" i="3"/>
  <c r="R106" i="3"/>
  <c r="R15" i="3"/>
  <c r="R11" i="3"/>
  <c r="R7" i="3"/>
  <c r="G262" i="5"/>
  <c r="G264" i="5" s="1"/>
  <c r="AB260" i="3"/>
  <c r="AB243" i="3"/>
  <c r="AB226" i="3"/>
  <c r="AB195" i="3"/>
  <c r="AB179" i="3"/>
  <c r="AB163" i="3"/>
  <c r="AB132" i="3"/>
  <c r="AA119" i="3"/>
  <c r="AA103" i="3"/>
  <c r="G262" i="7"/>
  <c r="AD16" i="3"/>
  <c r="J16" i="7" s="1"/>
  <c r="K16" i="7" s="1"/>
  <c r="L16" i="7" s="1"/>
  <c r="P16" i="7" s="1"/>
  <c r="L262" i="3"/>
  <c r="L264" i="3" s="1"/>
  <c r="AB235" i="3"/>
  <c r="AA225" i="3"/>
  <c r="AA201" i="3"/>
  <c r="AB171" i="3"/>
  <c r="AA139" i="3"/>
  <c r="Z122" i="3"/>
  <c r="AB112" i="3"/>
  <c r="AB108" i="3"/>
  <c r="AA100" i="3"/>
  <c r="AA96" i="3"/>
  <c r="AA90" i="3"/>
  <c r="AA86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A23" i="3"/>
  <c r="AA19" i="3"/>
  <c r="AB13" i="3"/>
  <c r="AD13" i="3" s="1"/>
  <c r="J13" i="7" s="1"/>
  <c r="K13" i="7" s="1"/>
  <c r="L13" i="7" s="1"/>
  <c r="P13" i="7" s="1"/>
  <c r="Z7" i="3"/>
  <c r="R125" i="3"/>
  <c r="R121" i="3"/>
  <c r="R117" i="3"/>
  <c r="R113" i="3"/>
  <c r="R109" i="3"/>
  <c r="R105" i="3"/>
  <c r="R21" i="3"/>
  <c r="R17" i="3"/>
  <c r="R14" i="3"/>
  <c r="R10" i="3"/>
  <c r="R6" i="3"/>
  <c r="Q262" i="3"/>
  <c r="Q264" i="3" s="1"/>
  <c r="W262" i="3"/>
  <c r="AA250" i="3"/>
  <c r="AB218" i="3"/>
  <c r="AA209" i="3"/>
  <c r="AA186" i="3"/>
  <c r="AB156" i="3"/>
  <c r="AD156" i="3" s="1"/>
  <c r="J156" i="7" s="1"/>
  <c r="K156" i="7" s="1"/>
  <c r="L156" i="7" s="1"/>
  <c r="P156" i="7" s="1"/>
  <c r="AA147" i="3"/>
  <c r="Z126" i="3"/>
  <c r="AB116" i="3"/>
  <c r="Z106" i="3"/>
  <c r="AB97" i="3"/>
  <c r="AB91" i="3"/>
  <c r="AD91" i="3" s="1"/>
  <c r="J91" i="7" s="1"/>
  <c r="K91" i="7" s="1"/>
  <c r="L91" i="7" s="1"/>
  <c r="P91" i="7" s="1"/>
  <c r="AB87" i="3"/>
  <c r="AB84" i="3"/>
  <c r="AB80" i="3"/>
  <c r="AB76" i="3"/>
  <c r="AB72" i="3"/>
  <c r="AB68" i="3"/>
  <c r="AB64" i="3"/>
  <c r="AB60" i="3"/>
  <c r="AB56" i="3"/>
  <c r="AB52" i="3"/>
  <c r="AB48" i="3"/>
  <c r="AB44" i="3"/>
  <c r="AB40" i="3"/>
  <c r="AB36" i="3"/>
  <c r="AB32" i="3"/>
  <c r="AB28" i="3"/>
  <c r="AB24" i="3"/>
  <c r="AB20" i="3"/>
  <c r="Z11" i="3"/>
  <c r="R124" i="3"/>
  <c r="R120" i="3"/>
  <c r="R116" i="3"/>
  <c r="R112" i="3"/>
  <c r="R108" i="3"/>
  <c r="R104" i="3"/>
  <c r="R13" i="3"/>
  <c r="R9" i="3"/>
  <c r="R5" i="3"/>
  <c r="G262" i="3"/>
  <c r="G264" i="3" s="1"/>
  <c r="AA258" i="3"/>
  <c r="AA234" i="3"/>
  <c r="AB202" i="3"/>
  <c r="AA194" i="3"/>
  <c r="AA170" i="3"/>
  <c r="AB140" i="3"/>
  <c r="AD140" i="3" s="1"/>
  <c r="J140" i="7" s="1"/>
  <c r="K140" i="7" s="1"/>
  <c r="L140" i="7" s="1"/>
  <c r="AA131" i="3"/>
  <c r="AB120" i="3"/>
  <c r="Z114" i="3"/>
  <c r="Z110" i="3"/>
  <c r="AA12" i="3"/>
  <c r="AA8" i="3"/>
  <c r="AB5" i="3"/>
  <c r="AD5" i="3" s="1"/>
  <c r="J5" i="7" s="1"/>
  <c r="K5" i="7" s="1"/>
  <c r="L5" i="7" s="1"/>
  <c r="R123" i="3"/>
  <c r="R119" i="3"/>
  <c r="R115" i="3"/>
  <c r="R111" i="3"/>
  <c r="R107" i="3"/>
  <c r="R103" i="3"/>
  <c r="R12" i="3"/>
  <c r="R8" i="3"/>
  <c r="R102" i="3"/>
  <c r="Z257" i="3"/>
  <c r="AB255" i="3"/>
  <c r="Z253" i="3"/>
  <c r="Z249" i="3"/>
  <c r="AB247" i="3"/>
  <c r="Z245" i="3"/>
  <c r="Z241" i="3"/>
  <c r="AB239" i="3"/>
  <c r="Z237" i="3"/>
  <c r="Z232" i="3"/>
  <c r="AB230" i="3"/>
  <c r="Z228" i="3"/>
  <c r="Z224" i="3"/>
  <c r="AB222" i="3"/>
  <c r="Z220" i="3"/>
  <c r="Z216" i="3"/>
  <c r="AB214" i="3"/>
  <c r="Z212" i="3"/>
  <c r="Z208" i="3"/>
  <c r="AB206" i="3"/>
  <c r="Z204" i="3"/>
  <c r="Z200" i="3"/>
  <c r="AB198" i="3"/>
  <c r="Z196" i="3"/>
  <c r="Z193" i="3"/>
  <c r="AB191" i="3"/>
  <c r="Z189" i="3"/>
  <c r="Z185" i="3"/>
  <c r="AB183" i="3"/>
  <c r="Z181" i="3"/>
  <c r="Z177" i="3"/>
  <c r="AB175" i="3"/>
  <c r="Z173" i="3"/>
  <c r="Z169" i="3"/>
  <c r="AB167" i="3"/>
  <c r="Z165" i="3"/>
  <c r="Z162" i="3"/>
  <c r="AB160" i="3"/>
  <c r="Z158" i="3"/>
  <c r="Z154" i="3"/>
  <c r="AB152" i="3"/>
  <c r="Z150" i="3"/>
  <c r="Z146" i="3"/>
  <c r="AB144" i="3"/>
  <c r="Z138" i="3"/>
  <c r="AB136" i="3"/>
  <c r="Z134" i="3"/>
  <c r="Z130" i="3"/>
  <c r="AA123" i="3"/>
  <c r="AA115" i="3"/>
  <c r="AA107" i="3"/>
  <c r="AB10" i="3"/>
  <c r="AB9" i="3"/>
  <c r="AD9" i="3" s="1"/>
  <c r="J9" i="7" s="1"/>
  <c r="K9" i="7" s="1"/>
  <c r="L9" i="7" s="1"/>
  <c r="P9" i="7" s="1"/>
  <c r="AA125" i="3"/>
  <c r="AA121" i="3"/>
  <c r="AA117" i="3"/>
  <c r="AA113" i="3"/>
  <c r="AA109" i="3"/>
  <c r="G263" i="7"/>
  <c r="AB15" i="3"/>
  <c r="AB11" i="3"/>
  <c r="AB7" i="3"/>
  <c r="V262" i="3"/>
  <c r="V264" i="3" s="1"/>
  <c r="Z142" i="3"/>
  <c r="AA124" i="3"/>
  <c r="AA116" i="3"/>
  <c r="AA108" i="3"/>
  <c r="AA102" i="3"/>
  <c r="AA99" i="3"/>
  <c r="AB90" i="3"/>
  <c r="AB86" i="3"/>
  <c r="Z65" i="3"/>
  <c r="Z61" i="3"/>
  <c r="Z57" i="3"/>
  <c r="AA54" i="3"/>
  <c r="Z33" i="3"/>
  <c r="Z29" i="3"/>
  <c r="AA26" i="3"/>
  <c r="AA22" i="3"/>
  <c r="AB19" i="3"/>
  <c r="R258" i="3"/>
  <c r="R254" i="3"/>
  <c r="R250" i="3"/>
  <c r="R246" i="3"/>
  <c r="R242" i="3"/>
  <c r="R238" i="3"/>
  <c r="R234" i="3"/>
  <c r="R229" i="3"/>
  <c r="R225" i="3"/>
  <c r="R221" i="3"/>
  <c r="R217" i="3"/>
  <c r="R213" i="3"/>
  <c r="R209" i="3"/>
  <c r="R205" i="3"/>
  <c r="R201" i="3"/>
  <c r="R197" i="3"/>
  <c r="R194" i="3"/>
  <c r="R190" i="3"/>
  <c r="R186" i="3"/>
  <c r="R182" i="3"/>
  <c r="R178" i="3"/>
  <c r="R174" i="3"/>
  <c r="R170" i="3"/>
  <c r="R166" i="3"/>
  <c r="R159" i="3"/>
  <c r="R155" i="3"/>
  <c r="R151" i="3"/>
  <c r="R147" i="3"/>
  <c r="R143" i="3"/>
  <c r="R139" i="3"/>
  <c r="R135" i="3"/>
  <c r="R131" i="3"/>
  <c r="R99" i="3"/>
  <c r="R95" i="3"/>
  <c r="R93" i="3"/>
  <c r="R89" i="3"/>
  <c r="R82" i="3"/>
  <c r="R78" i="3"/>
  <c r="R74" i="3"/>
  <c r="R70" i="3"/>
  <c r="R66" i="3"/>
  <c r="R62" i="3"/>
  <c r="R58" i="3"/>
  <c r="R54" i="3"/>
  <c r="X262" i="3"/>
  <c r="X264" i="3" s="1"/>
  <c r="AA120" i="3"/>
  <c r="AA112" i="3"/>
  <c r="Z94" i="3"/>
  <c r="AD94" i="3" s="1"/>
  <c r="J94" i="7" s="1"/>
  <c r="K94" i="7" s="1"/>
  <c r="L94" i="7" s="1"/>
  <c r="P94" i="7" s="1"/>
  <c r="Z92" i="3"/>
  <c r="Z88" i="3"/>
  <c r="AA82" i="3"/>
  <c r="AA78" i="3"/>
  <c r="AA74" i="3"/>
  <c r="AA70" i="3"/>
  <c r="AB63" i="3"/>
  <c r="AB59" i="3"/>
  <c r="AB55" i="3"/>
  <c r="AA50" i="3"/>
  <c r="AA46" i="3"/>
  <c r="AA42" i="3"/>
  <c r="AA38" i="3"/>
  <c r="AB35" i="3"/>
  <c r="AB31" i="3"/>
  <c r="Z17" i="3"/>
  <c r="AB12" i="3"/>
  <c r="R153" i="3"/>
  <c r="R149" i="3"/>
  <c r="R145" i="3"/>
  <c r="R141" i="3"/>
  <c r="R137" i="3"/>
  <c r="R133" i="3"/>
  <c r="R129" i="3"/>
  <c r="R97" i="3"/>
  <c r="R91" i="3"/>
  <c r="R87" i="3"/>
  <c r="R84" i="3"/>
  <c r="R80" i="3"/>
  <c r="R76" i="3"/>
  <c r="R72" i="3"/>
  <c r="R68" i="3"/>
  <c r="R64" i="3"/>
  <c r="R60" i="3"/>
  <c r="R56" i="3"/>
  <c r="R52" i="3"/>
  <c r="AA254" i="3"/>
  <c r="AA246" i="3"/>
  <c r="AA238" i="3"/>
  <c r="AA229" i="3"/>
  <c r="AA221" i="3"/>
  <c r="AA213" i="3"/>
  <c r="AA205" i="3"/>
  <c r="AA197" i="3"/>
  <c r="AA190" i="3"/>
  <c r="AA182" i="3"/>
  <c r="AA174" i="3"/>
  <c r="AA166" i="3"/>
  <c r="AA159" i="3"/>
  <c r="AA151" i="3"/>
  <c r="AA143" i="3"/>
  <c r="AA135" i="3"/>
  <c r="AA126" i="3"/>
  <c r="AA118" i="3"/>
  <c r="AA110" i="3"/>
  <c r="Z98" i="3"/>
  <c r="AA95" i="3"/>
  <c r="AA93" i="3"/>
  <c r="AA89" i="3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Z25" i="3"/>
  <c r="Z21" i="3"/>
  <c r="AA18" i="3"/>
  <c r="AB8" i="3"/>
  <c r="R51" i="3"/>
  <c r="R47" i="3"/>
  <c r="R43" i="3"/>
  <c r="R39" i="3"/>
  <c r="R35" i="3"/>
  <c r="R31" i="3"/>
  <c r="R27" i="3"/>
  <c r="R23" i="3"/>
  <c r="R19" i="3"/>
  <c r="P272" i="1"/>
  <c r="AD127" i="3"/>
  <c r="J127" i="7" s="1"/>
  <c r="K127" i="7" s="1"/>
  <c r="L127" i="7" s="1"/>
  <c r="P127" i="7" s="1"/>
  <c r="J262" i="5"/>
  <c r="AD203" i="3"/>
  <c r="J203" i="7" s="1"/>
  <c r="K203" i="7" s="1"/>
  <c r="L203" i="7" s="1"/>
  <c r="P203" i="7" s="1"/>
  <c r="F262" i="2"/>
  <c r="R260" i="3"/>
  <c r="R255" i="3"/>
  <c r="R251" i="3"/>
  <c r="R247" i="3"/>
  <c r="R243" i="3"/>
  <c r="R239" i="3"/>
  <c r="R235" i="3"/>
  <c r="R230" i="3"/>
  <c r="R226" i="3"/>
  <c r="R222" i="3"/>
  <c r="R218" i="3"/>
  <c r="R214" i="3"/>
  <c r="R210" i="3"/>
  <c r="R206" i="3"/>
  <c r="R202" i="3"/>
  <c r="R198" i="3"/>
  <c r="R195" i="3"/>
  <c r="R191" i="3"/>
  <c r="R187" i="3"/>
  <c r="R183" i="3"/>
  <c r="R179" i="3"/>
  <c r="R175" i="3"/>
  <c r="R171" i="3"/>
  <c r="R167" i="3"/>
  <c r="R163" i="3"/>
  <c r="R160" i="3"/>
  <c r="R156" i="3"/>
  <c r="R152" i="3"/>
  <c r="R148" i="3"/>
  <c r="R144" i="3"/>
  <c r="R140" i="3"/>
  <c r="R136" i="3"/>
  <c r="R132" i="3"/>
  <c r="R100" i="3"/>
  <c r="R96" i="3"/>
  <c r="R90" i="3"/>
  <c r="R86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57" i="3"/>
  <c r="R253" i="3"/>
  <c r="R249" i="3"/>
  <c r="R245" i="3"/>
  <c r="R241" i="3"/>
  <c r="R237" i="3"/>
  <c r="R232" i="3"/>
  <c r="R228" i="3"/>
  <c r="R224" i="3"/>
  <c r="R220" i="3"/>
  <c r="R216" i="3"/>
  <c r="R212" i="3"/>
  <c r="R208" i="3"/>
  <c r="R204" i="3"/>
  <c r="R200" i="3"/>
  <c r="R196" i="3"/>
  <c r="R193" i="3"/>
  <c r="R189" i="3"/>
  <c r="R185" i="3"/>
  <c r="R181" i="3"/>
  <c r="R177" i="3"/>
  <c r="R173" i="3"/>
  <c r="R169" i="3"/>
  <c r="R165" i="3"/>
  <c r="R162" i="3"/>
  <c r="R158" i="3"/>
  <c r="R154" i="3"/>
  <c r="R150" i="3"/>
  <c r="R146" i="3"/>
  <c r="R142" i="3"/>
  <c r="R138" i="3"/>
  <c r="R134" i="3"/>
  <c r="R130" i="3"/>
  <c r="R98" i="3"/>
  <c r="R94" i="3"/>
  <c r="R92" i="3"/>
  <c r="R88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244" i="3" l="1"/>
  <c r="J244" i="7" s="1"/>
  <c r="K244" i="7" s="1"/>
  <c r="L244" i="7" s="1"/>
  <c r="P244" i="7" s="1"/>
  <c r="AD261" i="3"/>
  <c r="J261" i="7" s="1"/>
  <c r="K261" i="7" s="1"/>
  <c r="L261" i="7" s="1"/>
  <c r="P261" i="7" s="1"/>
  <c r="AD98" i="3"/>
  <c r="J98" i="7" s="1"/>
  <c r="K98" i="7" s="1"/>
  <c r="L98" i="7" s="1"/>
  <c r="P98" i="7" s="1"/>
  <c r="AD81" i="3"/>
  <c r="J81" i="7" s="1"/>
  <c r="K81" i="7" s="1"/>
  <c r="L81" i="7" s="1"/>
  <c r="P81" i="7" s="1"/>
  <c r="AD219" i="3"/>
  <c r="J219" i="7" s="1"/>
  <c r="K219" i="7" s="1"/>
  <c r="L219" i="7" s="1"/>
  <c r="P219" i="7" s="1"/>
  <c r="AD92" i="3"/>
  <c r="J92" i="7" s="1"/>
  <c r="K92" i="7" s="1"/>
  <c r="L92" i="7" s="1"/>
  <c r="P92" i="7" s="1"/>
  <c r="AD33" i="3"/>
  <c r="J33" i="7" s="1"/>
  <c r="K33" i="7" s="1"/>
  <c r="L33" i="7" s="1"/>
  <c r="P33" i="7" s="1"/>
  <c r="AD21" i="3"/>
  <c r="J21" i="7" s="1"/>
  <c r="K21" i="7" s="1"/>
  <c r="L21" i="7" s="1"/>
  <c r="P21" i="7" s="1"/>
  <c r="AD57" i="3"/>
  <c r="J57" i="7" s="1"/>
  <c r="K57" i="7" s="1"/>
  <c r="L57" i="7" s="1"/>
  <c r="P57" i="7" s="1"/>
  <c r="AD115" i="3"/>
  <c r="J115" i="7" s="1"/>
  <c r="K115" i="7" s="1"/>
  <c r="L115" i="7" s="1"/>
  <c r="P115" i="7" s="1"/>
  <c r="AD41" i="3"/>
  <c r="J41" i="7" s="1"/>
  <c r="K41" i="7" s="1"/>
  <c r="L41" i="7" s="1"/>
  <c r="P41" i="7" s="1"/>
  <c r="AD73" i="3"/>
  <c r="J73" i="7" s="1"/>
  <c r="K73" i="7" s="1"/>
  <c r="L73" i="7" s="1"/>
  <c r="P73" i="7" s="1"/>
  <c r="AD227" i="3"/>
  <c r="J227" i="7" s="1"/>
  <c r="K227" i="7" s="1"/>
  <c r="L227" i="7" s="1"/>
  <c r="P227" i="7" s="1"/>
  <c r="AD29" i="3"/>
  <c r="J29" i="7" s="1"/>
  <c r="K29" i="7" s="1"/>
  <c r="L29" i="7" s="1"/>
  <c r="P29" i="7" s="1"/>
  <c r="AD88" i="3"/>
  <c r="J88" i="7" s="1"/>
  <c r="K88" i="7" s="1"/>
  <c r="L88" i="7" s="1"/>
  <c r="P88" i="7" s="1"/>
  <c r="AD77" i="3"/>
  <c r="J77" i="7" s="1"/>
  <c r="K77" i="7" s="1"/>
  <c r="L77" i="7" s="1"/>
  <c r="P77" i="7" s="1"/>
  <c r="AD252" i="3"/>
  <c r="J252" i="7" s="1"/>
  <c r="K252" i="7" s="1"/>
  <c r="L252" i="7" s="1"/>
  <c r="P252" i="7" s="1"/>
  <c r="AD65" i="3"/>
  <c r="J65" i="7" s="1"/>
  <c r="K65" i="7" s="1"/>
  <c r="L65" i="7" s="1"/>
  <c r="P65" i="7" s="1"/>
  <c r="AD102" i="3"/>
  <c r="J102" i="7" s="1"/>
  <c r="K102" i="7" s="1"/>
  <c r="L102" i="7" s="1"/>
  <c r="P102" i="7" s="1"/>
  <c r="AD97" i="3"/>
  <c r="J97" i="7" s="1"/>
  <c r="K97" i="7" s="1"/>
  <c r="L97" i="7" s="1"/>
  <c r="P97" i="7" s="1"/>
  <c r="AD118" i="3"/>
  <c r="J118" i="7" s="1"/>
  <c r="K118" i="7" s="1"/>
  <c r="L118" i="7" s="1"/>
  <c r="P118" i="7" s="1"/>
  <c r="AD36" i="3"/>
  <c r="J36" i="7" s="1"/>
  <c r="K36" i="7" s="1"/>
  <c r="L36" i="7" s="1"/>
  <c r="P36" i="7" s="1"/>
  <c r="AD68" i="3"/>
  <c r="J68" i="7" s="1"/>
  <c r="K68" i="7" s="1"/>
  <c r="L68" i="7" s="1"/>
  <c r="P68" i="7" s="1"/>
  <c r="AD133" i="3"/>
  <c r="J133" i="7" s="1"/>
  <c r="K133" i="7" s="1"/>
  <c r="L133" i="7" s="1"/>
  <c r="P133" i="7" s="1"/>
  <c r="AD17" i="3"/>
  <c r="J17" i="7" s="1"/>
  <c r="K17" i="7" s="1"/>
  <c r="L17" i="7" s="1"/>
  <c r="P17" i="7" s="1"/>
  <c r="AD25" i="3"/>
  <c r="J25" i="7" s="1"/>
  <c r="K25" i="7" s="1"/>
  <c r="L25" i="7" s="1"/>
  <c r="P25" i="7" s="1"/>
  <c r="AD61" i="3"/>
  <c r="J61" i="7" s="1"/>
  <c r="K61" i="7" s="1"/>
  <c r="L61" i="7" s="1"/>
  <c r="P61" i="7" s="1"/>
  <c r="AD40" i="3"/>
  <c r="J40" i="7" s="1"/>
  <c r="K40" i="7" s="1"/>
  <c r="L40" i="7" s="1"/>
  <c r="P40" i="7" s="1"/>
  <c r="AD240" i="3"/>
  <c r="J240" i="7" s="1"/>
  <c r="K240" i="7" s="1"/>
  <c r="L240" i="7" s="1"/>
  <c r="P240" i="7" s="1"/>
  <c r="AD72" i="3"/>
  <c r="J72" i="7" s="1"/>
  <c r="K72" i="7" s="1"/>
  <c r="L72" i="7" s="1"/>
  <c r="P72" i="7" s="1"/>
  <c r="AD69" i="3"/>
  <c r="J69" i="7" s="1"/>
  <c r="K69" i="7" s="1"/>
  <c r="L69" i="7" s="1"/>
  <c r="P69" i="7" s="1"/>
  <c r="AD137" i="3"/>
  <c r="J137" i="7" s="1"/>
  <c r="K137" i="7" s="1"/>
  <c r="L137" i="7" s="1"/>
  <c r="P137" i="7" s="1"/>
  <c r="AD100" i="3"/>
  <c r="J100" i="7" s="1"/>
  <c r="K100" i="7" s="1"/>
  <c r="L100" i="7" s="1"/>
  <c r="P100" i="7" s="1"/>
  <c r="AD104" i="3"/>
  <c r="J104" i="7" s="1"/>
  <c r="K104" i="7" s="1"/>
  <c r="L104" i="7" s="1"/>
  <c r="P104" i="7" s="1"/>
  <c r="AD24" i="3"/>
  <c r="J24" i="7" s="1"/>
  <c r="K24" i="7" s="1"/>
  <c r="L24" i="7" s="1"/>
  <c r="P24" i="7" s="1"/>
  <c r="AD56" i="3"/>
  <c r="J56" i="7" s="1"/>
  <c r="K56" i="7" s="1"/>
  <c r="L56" i="7" s="1"/>
  <c r="P56" i="7" s="1"/>
  <c r="AD87" i="3"/>
  <c r="J87" i="7" s="1"/>
  <c r="K87" i="7" s="1"/>
  <c r="L87" i="7" s="1"/>
  <c r="P87" i="7" s="1"/>
  <c r="AD96" i="3"/>
  <c r="J96" i="7" s="1"/>
  <c r="K96" i="7" s="1"/>
  <c r="L96" i="7" s="1"/>
  <c r="P96" i="7" s="1"/>
  <c r="AD28" i="3"/>
  <c r="J28" i="7" s="1"/>
  <c r="K28" i="7" s="1"/>
  <c r="L28" i="7" s="1"/>
  <c r="P28" i="7" s="1"/>
  <c r="AD129" i="3"/>
  <c r="J129" i="7" s="1"/>
  <c r="K129" i="7" s="1"/>
  <c r="L129" i="7" s="1"/>
  <c r="P129" i="7" s="1"/>
  <c r="AD161" i="3"/>
  <c r="J161" i="7" s="1"/>
  <c r="K161" i="7" s="1"/>
  <c r="L161" i="7" s="1"/>
  <c r="P161" i="7" s="1"/>
  <c r="AD124" i="3"/>
  <c r="J124" i="7" s="1"/>
  <c r="K124" i="7" s="1"/>
  <c r="L124" i="7" s="1"/>
  <c r="P124" i="7" s="1"/>
  <c r="AD76" i="3"/>
  <c r="J76" i="7" s="1"/>
  <c r="K76" i="7" s="1"/>
  <c r="L76" i="7" s="1"/>
  <c r="P76" i="7" s="1"/>
  <c r="AD217" i="3"/>
  <c r="J217" i="7" s="1"/>
  <c r="K217" i="7" s="1"/>
  <c r="L217" i="7" s="1"/>
  <c r="P217" i="7" s="1"/>
  <c r="AD27" i="3"/>
  <c r="J27" i="7" s="1"/>
  <c r="K27" i="7" s="1"/>
  <c r="L27" i="7" s="1"/>
  <c r="P27" i="7" s="1"/>
  <c r="AD171" i="3"/>
  <c r="J171" i="7" s="1"/>
  <c r="K171" i="7" s="1"/>
  <c r="L171" i="7" s="1"/>
  <c r="P171" i="7" s="1"/>
  <c r="AD251" i="3"/>
  <c r="J251" i="7" s="1"/>
  <c r="K251" i="7" s="1"/>
  <c r="L251" i="7" s="1"/>
  <c r="P251" i="7" s="1"/>
  <c r="AD207" i="3"/>
  <c r="J207" i="7" s="1"/>
  <c r="K207" i="7" s="1"/>
  <c r="L207" i="7" s="1"/>
  <c r="P207" i="7" s="1"/>
  <c r="AD143" i="3"/>
  <c r="J143" i="7" s="1"/>
  <c r="K143" i="7" s="1"/>
  <c r="L143" i="7" s="1"/>
  <c r="P143" i="7" s="1"/>
  <c r="AD119" i="3"/>
  <c r="J119" i="7" s="1"/>
  <c r="K119" i="7" s="1"/>
  <c r="L119" i="7" s="1"/>
  <c r="P119" i="7" s="1"/>
  <c r="AD48" i="3"/>
  <c r="J48" i="7" s="1"/>
  <c r="K48" i="7" s="1"/>
  <c r="L48" i="7" s="1"/>
  <c r="P48" i="7" s="1"/>
  <c r="AD80" i="3"/>
  <c r="J80" i="7" s="1"/>
  <c r="K80" i="7" s="1"/>
  <c r="L80" i="7" s="1"/>
  <c r="P80" i="7" s="1"/>
  <c r="AD60" i="3"/>
  <c r="J60" i="7" s="1"/>
  <c r="K60" i="7" s="1"/>
  <c r="L60" i="7" s="1"/>
  <c r="P60" i="7" s="1"/>
  <c r="AD174" i="3"/>
  <c r="J174" i="7" s="1"/>
  <c r="K174" i="7" s="1"/>
  <c r="L174" i="7" s="1"/>
  <c r="P174" i="7" s="1"/>
  <c r="AD238" i="3"/>
  <c r="J238" i="7" s="1"/>
  <c r="K238" i="7" s="1"/>
  <c r="L238" i="7" s="1"/>
  <c r="P238" i="7" s="1"/>
  <c r="AD168" i="3"/>
  <c r="J168" i="7" s="1"/>
  <c r="K168" i="7" s="1"/>
  <c r="L168" i="7" s="1"/>
  <c r="P168" i="7" s="1"/>
  <c r="AD39" i="3"/>
  <c r="J39" i="7" s="1"/>
  <c r="K39" i="7" s="1"/>
  <c r="L39" i="7" s="1"/>
  <c r="P39" i="7" s="1"/>
  <c r="AD205" i="3"/>
  <c r="J205" i="7" s="1"/>
  <c r="K205" i="7" s="1"/>
  <c r="L205" i="7" s="1"/>
  <c r="P205" i="7" s="1"/>
  <c r="AD42" i="3"/>
  <c r="J42" i="7" s="1"/>
  <c r="K42" i="7" s="1"/>
  <c r="L42" i="7" s="1"/>
  <c r="P42" i="7" s="1"/>
  <c r="AD256" i="3"/>
  <c r="J256" i="7" s="1"/>
  <c r="K256" i="7" s="1"/>
  <c r="L256" i="7" s="1"/>
  <c r="P256" i="7" s="1"/>
  <c r="AD223" i="3"/>
  <c r="J223" i="7" s="1"/>
  <c r="K223" i="7" s="1"/>
  <c r="L223" i="7" s="1"/>
  <c r="P223" i="7" s="1"/>
  <c r="AD216" i="3"/>
  <c r="J216" i="7" s="1"/>
  <c r="K216" i="7" s="1"/>
  <c r="L216" i="7" s="1"/>
  <c r="P216" i="7" s="1"/>
  <c r="AD184" i="3"/>
  <c r="J184" i="7" s="1"/>
  <c r="K184" i="7" s="1"/>
  <c r="L184" i="7" s="1"/>
  <c r="P184" i="7" s="1"/>
  <c r="AD192" i="3"/>
  <c r="J192" i="7" s="1"/>
  <c r="K192" i="7" s="1"/>
  <c r="L192" i="7" s="1"/>
  <c r="P192" i="7" s="1"/>
  <c r="AD107" i="3"/>
  <c r="J107" i="7" s="1"/>
  <c r="K107" i="7" s="1"/>
  <c r="L107" i="7" s="1"/>
  <c r="P107" i="7" s="1"/>
  <c r="AD139" i="3"/>
  <c r="J139" i="7" s="1"/>
  <c r="K139" i="7" s="1"/>
  <c r="L139" i="7" s="1"/>
  <c r="P139" i="7" s="1"/>
  <c r="AD58" i="3"/>
  <c r="J58" i="7" s="1"/>
  <c r="K58" i="7" s="1"/>
  <c r="L58" i="7" s="1"/>
  <c r="P58" i="7" s="1"/>
  <c r="AD99" i="3"/>
  <c r="J99" i="7" s="1"/>
  <c r="K99" i="7" s="1"/>
  <c r="L99" i="7" s="1"/>
  <c r="P99" i="7" s="1"/>
  <c r="AD70" i="3"/>
  <c r="J70" i="7" s="1"/>
  <c r="K70" i="7" s="1"/>
  <c r="L70" i="7" s="1"/>
  <c r="P70" i="7" s="1"/>
  <c r="AD38" i="3"/>
  <c r="J38" i="7" s="1"/>
  <c r="K38" i="7" s="1"/>
  <c r="L38" i="7" s="1"/>
  <c r="P38" i="7" s="1"/>
  <c r="AD49" i="3"/>
  <c r="J49" i="7" s="1"/>
  <c r="K49" i="7" s="1"/>
  <c r="L49" i="7" s="1"/>
  <c r="P49" i="7" s="1"/>
  <c r="AD144" i="3"/>
  <c r="J144" i="7" s="1"/>
  <c r="K144" i="7" s="1"/>
  <c r="L144" i="7" s="1"/>
  <c r="P144" i="7" s="1"/>
  <c r="G233" i="2"/>
  <c r="G128" i="2"/>
  <c r="AD74" i="3"/>
  <c r="J74" i="7" s="1"/>
  <c r="K74" i="7" s="1"/>
  <c r="L74" i="7" s="1"/>
  <c r="P74" i="7" s="1"/>
  <c r="AD123" i="3"/>
  <c r="J123" i="7" s="1"/>
  <c r="K123" i="7" s="1"/>
  <c r="L123" i="7" s="1"/>
  <c r="P123" i="7" s="1"/>
  <c r="AD131" i="3"/>
  <c r="J131" i="7" s="1"/>
  <c r="K131" i="7" s="1"/>
  <c r="L131" i="7" s="1"/>
  <c r="P131" i="7" s="1"/>
  <c r="AD103" i="3"/>
  <c r="J103" i="7" s="1"/>
  <c r="K103" i="7" s="1"/>
  <c r="L103" i="7" s="1"/>
  <c r="P103" i="7" s="1"/>
  <c r="AD213" i="3"/>
  <c r="J213" i="7" s="1"/>
  <c r="K213" i="7" s="1"/>
  <c r="L213" i="7" s="1"/>
  <c r="P213" i="7" s="1"/>
  <c r="AD82" i="3"/>
  <c r="J82" i="7" s="1"/>
  <c r="K82" i="7" s="1"/>
  <c r="L82" i="7" s="1"/>
  <c r="P82" i="7" s="1"/>
  <c r="AD158" i="3"/>
  <c r="J158" i="7" s="1"/>
  <c r="K158" i="7" s="1"/>
  <c r="L158" i="7" s="1"/>
  <c r="P158" i="7" s="1"/>
  <c r="AD220" i="3"/>
  <c r="J220" i="7" s="1"/>
  <c r="K220" i="7" s="1"/>
  <c r="L220" i="7" s="1"/>
  <c r="P220" i="7" s="1"/>
  <c r="AD20" i="3"/>
  <c r="J20" i="7" s="1"/>
  <c r="K20" i="7" s="1"/>
  <c r="L20" i="7" s="1"/>
  <c r="P20" i="7" s="1"/>
  <c r="AD52" i="3"/>
  <c r="J52" i="7" s="1"/>
  <c r="K52" i="7" s="1"/>
  <c r="L52" i="7" s="1"/>
  <c r="P52" i="7" s="1"/>
  <c r="AD84" i="3"/>
  <c r="J84" i="7" s="1"/>
  <c r="K84" i="7" s="1"/>
  <c r="L84" i="7" s="1"/>
  <c r="P84" i="7" s="1"/>
  <c r="AD6" i="3"/>
  <c r="J6" i="7" s="1"/>
  <c r="K6" i="7" s="1"/>
  <c r="L6" i="7" s="1"/>
  <c r="P6" i="7" s="1"/>
  <c r="AD166" i="3"/>
  <c r="J166" i="7" s="1"/>
  <c r="K166" i="7" s="1"/>
  <c r="L166" i="7" s="1"/>
  <c r="P166" i="7" s="1"/>
  <c r="AD229" i="3"/>
  <c r="J229" i="7" s="1"/>
  <c r="K229" i="7" s="1"/>
  <c r="L229" i="7" s="1"/>
  <c r="P229" i="7" s="1"/>
  <c r="AD34" i="3"/>
  <c r="J34" i="7" s="1"/>
  <c r="K34" i="7" s="1"/>
  <c r="L34" i="7" s="1"/>
  <c r="P34" i="7" s="1"/>
  <c r="AD89" i="3"/>
  <c r="J89" i="7" s="1"/>
  <c r="K89" i="7" s="1"/>
  <c r="L89" i="7" s="1"/>
  <c r="P89" i="7" s="1"/>
  <c r="AD196" i="3"/>
  <c r="J196" i="7" s="1"/>
  <c r="K196" i="7" s="1"/>
  <c r="L196" i="7" s="1"/>
  <c r="P196" i="7" s="1"/>
  <c r="AD44" i="3"/>
  <c r="J44" i="7" s="1"/>
  <c r="K44" i="7" s="1"/>
  <c r="L44" i="7" s="1"/>
  <c r="P44" i="7" s="1"/>
  <c r="AD66" i="3"/>
  <c r="J66" i="7" s="1"/>
  <c r="K66" i="7" s="1"/>
  <c r="L66" i="7" s="1"/>
  <c r="P66" i="7" s="1"/>
  <c r="AD249" i="3"/>
  <c r="J249" i="7" s="1"/>
  <c r="K249" i="7" s="1"/>
  <c r="L249" i="7" s="1"/>
  <c r="P249" i="7" s="1"/>
  <c r="AD206" i="3"/>
  <c r="J206" i="7" s="1"/>
  <c r="K206" i="7" s="1"/>
  <c r="L206" i="7" s="1"/>
  <c r="P206" i="7" s="1"/>
  <c r="AD113" i="3"/>
  <c r="J113" i="7" s="1"/>
  <c r="K113" i="7" s="1"/>
  <c r="L113" i="7" s="1"/>
  <c r="P113" i="7" s="1"/>
  <c r="AD199" i="3"/>
  <c r="J199" i="7" s="1"/>
  <c r="K199" i="7" s="1"/>
  <c r="L199" i="7" s="1"/>
  <c r="P199" i="7" s="1"/>
  <c r="AD136" i="3"/>
  <c r="J136" i="7" s="1"/>
  <c r="K136" i="7" s="1"/>
  <c r="L136" i="7" s="1"/>
  <c r="P136" i="7" s="1"/>
  <c r="AD54" i="3"/>
  <c r="J54" i="7" s="1"/>
  <c r="K54" i="7" s="1"/>
  <c r="L54" i="7" s="1"/>
  <c r="P54" i="7" s="1"/>
  <c r="AD204" i="3"/>
  <c r="J204" i="7" s="1"/>
  <c r="K204" i="7" s="1"/>
  <c r="L204" i="7" s="1"/>
  <c r="P204" i="7" s="1"/>
  <c r="AD155" i="3"/>
  <c r="J155" i="7" s="1"/>
  <c r="K155" i="7" s="1"/>
  <c r="L155" i="7" s="1"/>
  <c r="P155" i="7" s="1"/>
  <c r="AD95" i="3"/>
  <c r="J95" i="7" s="1"/>
  <c r="K95" i="7" s="1"/>
  <c r="L95" i="7" s="1"/>
  <c r="P95" i="7" s="1"/>
  <c r="AD45" i="3"/>
  <c r="J45" i="7" s="1"/>
  <c r="K45" i="7" s="1"/>
  <c r="L45" i="7" s="1"/>
  <c r="P45" i="7" s="1"/>
  <c r="AD141" i="3"/>
  <c r="J141" i="7" s="1"/>
  <c r="K141" i="7" s="1"/>
  <c r="L141" i="7" s="1"/>
  <c r="P141" i="7" s="1"/>
  <c r="AD231" i="3"/>
  <c r="J231" i="7" s="1"/>
  <c r="K231" i="7" s="1"/>
  <c r="L231" i="7" s="1"/>
  <c r="P231" i="7" s="1"/>
  <c r="AD228" i="3"/>
  <c r="J228" i="7" s="1"/>
  <c r="K228" i="7" s="1"/>
  <c r="L228" i="7" s="1"/>
  <c r="P228" i="7" s="1"/>
  <c r="AD235" i="3"/>
  <c r="J235" i="7" s="1"/>
  <c r="K235" i="7" s="1"/>
  <c r="L235" i="7" s="1"/>
  <c r="P235" i="7" s="1"/>
  <c r="AD14" i="3"/>
  <c r="J14" i="7" s="1"/>
  <c r="K14" i="7" s="1"/>
  <c r="L14" i="7" s="1"/>
  <c r="P14" i="7" s="1"/>
  <c r="AD202" i="3"/>
  <c r="J202" i="7" s="1"/>
  <c r="K202" i="7" s="1"/>
  <c r="L202" i="7" s="1"/>
  <c r="P202" i="7" s="1"/>
  <c r="AD176" i="3"/>
  <c r="J176" i="7" s="1"/>
  <c r="K176" i="7" s="1"/>
  <c r="L176" i="7" s="1"/>
  <c r="P176" i="7" s="1"/>
  <c r="AD182" i="3"/>
  <c r="J182" i="7" s="1"/>
  <c r="K182" i="7" s="1"/>
  <c r="L182" i="7" s="1"/>
  <c r="P182" i="7" s="1"/>
  <c r="AD246" i="3"/>
  <c r="J246" i="7" s="1"/>
  <c r="K246" i="7" s="1"/>
  <c r="L246" i="7" s="1"/>
  <c r="P246" i="7" s="1"/>
  <c r="AD32" i="3"/>
  <c r="J32" i="7" s="1"/>
  <c r="K32" i="7" s="1"/>
  <c r="L32" i="7" s="1"/>
  <c r="P32" i="7" s="1"/>
  <c r="AD64" i="3"/>
  <c r="J64" i="7" s="1"/>
  <c r="K64" i="7" s="1"/>
  <c r="L64" i="7" s="1"/>
  <c r="P64" i="7" s="1"/>
  <c r="AD159" i="3"/>
  <c r="J159" i="7" s="1"/>
  <c r="K159" i="7" s="1"/>
  <c r="L159" i="7" s="1"/>
  <c r="P159" i="7" s="1"/>
  <c r="AD221" i="3"/>
  <c r="J221" i="7" s="1"/>
  <c r="K221" i="7" s="1"/>
  <c r="L221" i="7" s="1"/>
  <c r="P221" i="7" s="1"/>
  <c r="AD160" i="3"/>
  <c r="J160" i="7" s="1"/>
  <c r="K160" i="7" s="1"/>
  <c r="L160" i="7" s="1"/>
  <c r="P160" i="7" s="1"/>
  <c r="AD181" i="3"/>
  <c r="J181" i="7" s="1"/>
  <c r="K181" i="7" s="1"/>
  <c r="L181" i="7" s="1"/>
  <c r="P181" i="7" s="1"/>
  <c r="AD200" i="3"/>
  <c r="J200" i="7" s="1"/>
  <c r="K200" i="7" s="1"/>
  <c r="L200" i="7" s="1"/>
  <c r="P200" i="7" s="1"/>
  <c r="AD245" i="3"/>
  <c r="J245" i="7" s="1"/>
  <c r="K245" i="7" s="1"/>
  <c r="L245" i="7" s="1"/>
  <c r="P245" i="7" s="1"/>
  <c r="AD170" i="3"/>
  <c r="J170" i="7" s="1"/>
  <c r="K170" i="7" s="1"/>
  <c r="L170" i="7" s="1"/>
  <c r="P170" i="7" s="1"/>
  <c r="AD147" i="3"/>
  <c r="J147" i="7" s="1"/>
  <c r="K147" i="7" s="1"/>
  <c r="L147" i="7" s="1"/>
  <c r="P147" i="7" s="1"/>
  <c r="AD215" i="3"/>
  <c r="J215" i="7" s="1"/>
  <c r="K215" i="7" s="1"/>
  <c r="L215" i="7" s="1"/>
  <c r="P215" i="7" s="1"/>
  <c r="AD165" i="3"/>
  <c r="J165" i="7" s="1"/>
  <c r="K165" i="7" s="1"/>
  <c r="L165" i="7" s="1"/>
  <c r="P165" i="7" s="1"/>
  <c r="AD186" i="3"/>
  <c r="J186" i="7" s="1"/>
  <c r="K186" i="7" s="1"/>
  <c r="L186" i="7" s="1"/>
  <c r="P186" i="7" s="1"/>
  <c r="AD189" i="3"/>
  <c r="J189" i="7" s="1"/>
  <c r="K189" i="7" s="1"/>
  <c r="L189" i="7" s="1"/>
  <c r="P189" i="7" s="1"/>
  <c r="AD253" i="3"/>
  <c r="J253" i="7" s="1"/>
  <c r="K253" i="7" s="1"/>
  <c r="L253" i="7" s="1"/>
  <c r="P253" i="7" s="1"/>
  <c r="AD234" i="3"/>
  <c r="J234" i="7" s="1"/>
  <c r="K234" i="7" s="1"/>
  <c r="L234" i="7" s="1"/>
  <c r="P234" i="7" s="1"/>
  <c r="AD153" i="3"/>
  <c r="J153" i="7" s="1"/>
  <c r="K153" i="7" s="1"/>
  <c r="L153" i="7" s="1"/>
  <c r="P153" i="7" s="1"/>
  <c r="AD146" i="3"/>
  <c r="J146" i="7" s="1"/>
  <c r="K146" i="7" s="1"/>
  <c r="L146" i="7" s="1"/>
  <c r="P146" i="7" s="1"/>
  <c r="AD190" i="3"/>
  <c r="J190" i="7" s="1"/>
  <c r="K190" i="7" s="1"/>
  <c r="L190" i="7" s="1"/>
  <c r="P190" i="7" s="1"/>
  <c r="AD254" i="3"/>
  <c r="J254" i="7" s="1"/>
  <c r="K254" i="7" s="1"/>
  <c r="L254" i="7" s="1"/>
  <c r="P254" i="7" s="1"/>
  <c r="AD169" i="3"/>
  <c r="J169" i="7" s="1"/>
  <c r="K169" i="7" s="1"/>
  <c r="L169" i="7" s="1"/>
  <c r="P169" i="7" s="1"/>
  <c r="AD212" i="3"/>
  <c r="J212" i="7" s="1"/>
  <c r="K212" i="7" s="1"/>
  <c r="L212" i="7" s="1"/>
  <c r="P212" i="7" s="1"/>
  <c r="AD232" i="3"/>
  <c r="J232" i="7" s="1"/>
  <c r="K232" i="7" s="1"/>
  <c r="L232" i="7" s="1"/>
  <c r="P232" i="7" s="1"/>
  <c r="AD157" i="3"/>
  <c r="J157" i="7" s="1"/>
  <c r="K157" i="7" s="1"/>
  <c r="L157" i="7" s="1"/>
  <c r="P157" i="7" s="1"/>
  <c r="AD210" i="3"/>
  <c r="J210" i="7" s="1"/>
  <c r="K210" i="7" s="1"/>
  <c r="L210" i="7" s="1"/>
  <c r="P210" i="7" s="1"/>
  <c r="AD248" i="3"/>
  <c r="J248" i="7" s="1"/>
  <c r="K248" i="7" s="1"/>
  <c r="L248" i="7" s="1"/>
  <c r="P248" i="7" s="1"/>
  <c r="AD178" i="3"/>
  <c r="J178" i="7" s="1"/>
  <c r="K178" i="7" s="1"/>
  <c r="L178" i="7" s="1"/>
  <c r="P178" i="7" s="1"/>
  <c r="AD185" i="3"/>
  <c r="J185" i="7" s="1"/>
  <c r="K185" i="7" s="1"/>
  <c r="L185" i="7" s="1"/>
  <c r="P185" i="7" s="1"/>
  <c r="AD197" i="3"/>
  <c r="J197" i="7" s="1"/>
  <c r="K197" i="7" s="1"/>
  <c r="L197" i="7" s="1"/>
  <c r="P197" i="7" s="1"/>
  <c r="AD152" i="3"/>
  <c r="J152" i="7" s="1"/>
  <c r="K152" i="7" s="1"/>
  <c r="L152" i="7" s="1"/>
  <c r="P152" i="7" s="1"/>
  <c r="AD173" i="3"/>
  <c r="J173" i="7" s="1"/>
  <c r="K173" i="7" s="1"/>
  <c r="L173" i="7" s="1"/>
  <c r="P173" i="7" s="1"/>
  <c r="AD237" i="3"/>
  <c r="J237" i="7" s="1"/>
  <c r="K237" i="7" s="1"/>
  <c r="L237" i="7" s="1"/>
  <c r="P237" i="7" s="1"/>
  <c r="AD241" i="3"/>
  <c r="J241" i="7" s="1"/>
  <c r="K241" i="7" s="1"/>
  <c r="L241" i="7" s="1"/>
  <c r="P241" i="7" s="1"/>
  <c r="AD50" i="3"/>
  <c r="J50" i="7" s="1"/>
  <c r="K50" i="7" s="1"/>
  <c r="L50" i="7" s="1"/>
  <c r="P50" i="7" s="1"/>
  <c r="AD149" i="3"/>
  <c r="J149" i="7" s="1"/>
  <c r="K149" i="7" s="1"/>
  <c r="L149" i="7" s="1"/>
  <c r="P149" i="7" s="1"/>
  <c r="AD145" i="3"/>
  <c r="J145" i="7" s="1"/>
  <c r="K145" i="7" s="1"/>
  <c r="L145" i="7" s="1"/>
  <c r="P145" i="7" s="1"/>
  <c r="AD183" i="3"/>
  <c r="J183" i="7" s="1"/>
  <c r="K183" i="7" s="1"/>
  <c r="L183" i="7" s="1"/>
  <c r="P183" i="7" s="1"/>
  <c r="AD193" i="3"/>
  <c r="J193" i="7" s="1"/>
  <c r="K193" i="7" s="1"/>
  <c r="L193" i="7" s="1"/>
  <c r="P193" i="7" s="1"/>
  <c r="AD214" i="3"/>
  <c r="J214" i="7" s="1"/>
  <c r="K214" i="7" s="1"/>
  <c r="L214" i="7" s="1"/>
  <c r="P214" i="7" s="1"/>
  <c r="AD224" i="3"/>
  <c r="J224" i="7" s="1"/>
  <c r="K224" i="7" s="1"/>
  <c r="L224" i="7" s="1"/>
  <c r="P224" i="7" s="1"/>
  <c r="AD247" i="3"/>
  <c r="J247" i="7" s="1"/>
  <c r="K247" i="7" s="1"/>
  <c r="L247" i="7" s="1"/>
  <c r="P247" i="7" s="1"/>
  <c r="AD257" i="3"/>
  <c r="J257" i="7" s="1"/>
  <c r="K257" i="7" s="1"/>
  <c r="L257" i="7" s="1"/>
  <c r="P257" i="7" s="1"/>
  <c r="AD225" i="3"/>
  <c r="J225" i="7" s="1"/>
  <c r="K225" i="7" s="1"/>
  <c r="L225" i="7" s="1"/>
  <c r="P225" i="7" s="1"/>
  <c r="AD163" i="3"/>
  <c r="J163" i="7" s="1"/>
  <c r="K163" i="7" s="1"/>
  <c r="L163" i="7" s="1"/>
  <c r="P163" i="7" s="1"/>
  <c r="AD243" i="3"/>
  <c r="J243" i="7" s="1"/>
  <c r="K243" i="7" s="1"/>
  <c r="L243" i="7" s="1"/>
  <c r="P243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3" i="3"/>
  <c r="J93" i="7" s="1"/>
  <c r="K93" i="7" s="1"/>
  <c r="L93" i="7" s="1"/>
  <c r="P93" i="7" s="1"/>
  <c r="AD151" i="3"/>
  <c r="J151" i="7" s="1"/>
  <c r="K151" i="7" s="1"/>
  <c r="L151" i="7" s="1"/>
  <c r="P151" i="7" s="1"/>
  <c r="AD46" i="3"/>
  <c r="J46" i="7" s="1"/>
  <c r="K46" i="7" s="1"/>
  <c r="L46" i="7" s="1"/>
  <c r="P46" i="7" s="1"/>
  <c r="AD167" i="3"/>
  <c r="J167" i="7" s="1"/>
  <c r="K167" i="7" s="1"/>
  <c r="L167" i="7" s="1"/>
  <c r="P167" i="7" s="1"/>
  <c r="AD177" i="3"/>
  <c r="J177" i="7" s="1"/>
  <c r="K177" i="7" s="1"/>
  <c r="L177" i="7" s="1"/>
  <c r="P177" i="7" s="1"/>
  <c r="AD198" i="3"/>
  <c r="J198" i="7" s="1"/>
  <c r="K198" i="7" s="1"/>
  <c r="L198" i="7" s="1"/>
  <c r="P198" i="7" s="1"/>
  <c r="AD208" i="3"/>
  <c r="J208" i="7" s="1"/>
  <c r="K208" i="7" s="1"/>
  <c r="L208" i="7" s="1"/>
  <c r="P208" i="7" s="1"/>
  <c r="AD230" i="3"/>
  <c r="J230" i="7" s="1"/>
  <c r="K230" i="7" s="1"/>
  <c r="L230" i="7" s="1"/>
  <c r="P230" i="7" s="1"/>
  <c r="AD250" i="3"/>
  <c r="J250" i="7" s="1"/>
  <c r="K250" i="7" s="1"/>
  <c r="L250" i="7" s="1"/>
  <c r="P250" i="7" s="1"/>
  <c r="AD187" i="3"/>
  <c r="J187" i="7" s="1"/>
  <c r="K187" i="7" s="1"/>
  <c r="L187" i="7" s="1"/>
  <c r="P187" i="7" s="1"/>
  <c r="AD218" i="3"/>
  <c r="J218" i="7" s="1"/>
  <c r="K218" i="7" s="1"/>
  <c r="L218" i="7" s="1"/>
  <c r="P218" i="7" s="1"/>
  <c r="AD201" i="3"/>
  <c r="J201" i="7" s="1"/>
  <c r="K201" i="7" s="1"/>
  <c r="L201" i="7" s="1"/>
  <c r="P201" i="7" s="1"/>
  <c r="AD55" i="3"/>
  <c r="J55" i="7" s="1"/>
  <c r="K55" i="7" s="1"/>
  <c r="L55" i="7" s="1"/>
  <c r="P55" i="7" s="1"/>
  <c r="AD142" i="3"/>
  <c r="J142" i="7" s="1"/>
  <c r="K142" i="7" s="1"/>
  <c r="L142" i="7" s="1"/>
  <c r="P142" i="7" s="1"/>
  <c r="AD10" i="3"/>
  <c r="J10" i="7" s="1"/>
  <c r="K10" i="7" s="1"/>
  <c r="L10" i="7" s="1"/>
  <c r="P10" i="7" s="1"/>
  <c r="AD150" i="3"/>
  <c r="J150" i="7" s="1"/>
  <c r="K150" i="7" s="1"/>
  <c r="L150" i="7" s="1"/>
  <c r="P150" i="7" s="1"/>
  <c r="AD175" i="3"/>
  <c r="J175" i="7" s="1"/>
  <c r="K175" i="7" s="1"/>
  <c r="L175" i="7" s="1"/>
  <c r="P175" i="7" s="1"/>
  <c r="AD191" i="3"/>
  <c r="J191" i="7" s="1"/>
  <c r="K191" i="7" s="1"/>
  <c r="L191" i="7" s="1"/>
  <c r="P191" i="7" s="1"/>
  <c r="AD222" i="3"/>
  <c r="J222" i="7" s="1"/>
  <c r="K222" i="7" s="1"/>
  <c r="L222" i="7" s="1"/>
  <c r="P222" i="7" s="1"/>
  <c r="AD239" i="3"/>
  <c r="J239" i="7" s="1"/>
  <c r="K239" i="7" s="1"/>
  <c r="L239" i="7" s="1"/>
  <c r="P239" i="7" s="1"/>
  <c r="AD255" i="3"/>
  <c r="J255" i="7" s="1"/>
  <c r="K255" i="7" s="1"/>
  <c r="L255" i="7" s="1"/>
  <c r="P255" i="7" s="1"/>
  <c r="AD132" i="3"/>
  <c r="J132" i="7" s="1"/>
  <c r="K132" i="7" s="1"/>
  <c r="L132" i="7" s="1"/>
  <c r="P132" i="7" s="1"/>
  <c r="AD18" i="3"/>
  <c r="J18" i="7" s="1"/>
  <c r="K18" i="7" s="1"/>
  <c r="L18" i="7" s="1"/>
  <c r="P18" i="7" s="1"/>
  <c r="AD179" i="3"/>
  <c r="J179" i="7" s="1"/>
  <c r="K179" i="7" s="1"/>
  <c r="L179" i="7" s="1"/>
  <c r="P179" i="7" s="1"/>
  <c r="AD260" i="3"/>
  <c r="J260" i="7" s="1"/>
  <c r="K260" i="7" s="1"/>
  <c r="L260" i="7" s="1"/>
  <c r="P260" i="7" s="1"/>
  <c r="AD194" i="3"/>
  <c r="J194" i="7" s="1"/>
  <c r="K194" i="7" s="1"/>
  <c r="L194" i="7" s="1"/>
  <c r="P194" i="7" s="1"/>
  <c r="H262" i="5"/>
  <c r="AD258" i="3"/>
  <c r="J258" i="7" s="1"/>
  <c r="K258" i="7" s="1"/>
  <c r="L258" i="7" s="1"/>
  <c r="P258" i="7" s="1"/>
  <c r="AD226" i="3"/>
  <c r="J226" i="7" s="1"/>
  <c r="K226" i="7" s="1"/>
  <c r="L226" i="7" s="1"/>
  <c r="P226" i="7" s="1"/>
  <c r="AD242" i="3"/>
  <c r="J242" i="7" s="1"/>
  <c r="K242" i="7" s="1"/>
  <c r="L242" i="7" s="1"/>
  <c r="P242" i="7" s="1"/>
  <c r="AD105" i="3"/>
  <c r="J105" i="7" s="1"/>
  <c r="K105" i="7" s="1"/>
  <c r="L105" i="7" s="1"/>
  <c r="P105" i="7" s="1"/>
  <c r="AD209" i="3"/>
  <c r="J209" i="7" s="1"/>
  <c r="K209" i="7" s="1"/>
  <c r="L209" i="7" s="1"/>
  <c r="P209" i="7" s="1"/>
  <c r="AD195" i="3"/>
  <c r="J195" i="7" s="1"/>
  <c r="K195" i="7" s="1"/>
  <c r="L195" i="7" s="1"/>
  <c r="P195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5" i="3"/>
  <c r="J135" i="7" s="1"/>
  <c r="K135" i="7" s="1"/>
  <c r="L135" i="7" s="1"/>
  <c r="P135" i="7" s="1"/>
  <c r="AD79" i="3"/>
  <c r="J79" i="7" s="1"/>
  <c r="K79" i="7" s="1"/>
  <c r="L79" i="7" s="1"/>
  <c r="P79" i="7" s="1"/>
  <c r="AD116" i="3"/>
  <c r="J116" i="7" s="1"/>
  <c r="K116" i="7" s="1"/>
  <c r="L116" i="7" s="1"/>
  <c r="P116" i="7" s="1"/>
  <c r="AD134" i="3"/>
  <c r="J134" i="7" s="1"/>
  <c r="K134" i="7" s="1"/>
  <c r="L134" i="7" s="1"/>
  <c r="P134" i="7" s="1"/>
  <c r="AD30" i="3"/>
  <c r="J30" i="7" s="1"/>
  <c r="K30" i="7" s="1"/>
  <c r="L30" i="7" s="1"/>
  <c r="P30" i="7" s="1"/>
  <c r="AD106" i="3"/>
  <c r="J106" i="7" s="1"/>
  <c r="K106" i="7" s="1"/>
  <c r="L106" i="7" s="1"/>
  <c r="P106" i="7" s="1"/>
  <c r="AD75" i="3"/>
  <c r="J75" i="7" s="1"/>
  <c r="K75" i="7" s="1"/>
  <c r="L75" i="7" s="1"/>
  <c r="P75" i="7" s="1"/>
  <c r="AD110" i="3"/>
  <c r="J110" i="7" s="1"/>
  <c r="K110" i="7" s="1"/>
  <c r="L110" i="7" s="1"/>
  <c r="P110" i="7" s="1"/>
  <c r="AD90" i="3"/>
  <c r="J90" i="7" s="1"/>
  <c r="K90" i="7" s="1"/>
  <c r="L90" i="7" s="1"/>
  <c r="P90" i="7" s="1"/>
  <c r="AD108" i="3"/>
  <c r="J108" i="7" s="1"/>
  <c r="K108" i="7" s="1"/>
  <c r="L108" i="7" s="1"/>
  <c r="P108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6" i="3"/>
  <c r="J126" i="7" s="1"/>
  <c r="K126" i="7" s="1"/>
  <c r="L126" i="7" s="1"/>
  <c r="P126" i="7" s="1"/>
  <c r="AD22" i="3"/>
  <c r="J22" i="7" s="1"/>
  <c r="K22" i="7" s="1"/>
  <c r="L22" i="7" s="1"/>
  <c r="P22" i="7" s="1"/>
  <c r="AD130" i="3"/>
  <c r="J130" i="7" s="1"/>
  <c r="K130" i="7" s="1"/>
  <c r="L130" i="7" s="1"/>
  <c r="P130" i="7" s="1"/>
  <c r="AD59" i="3"/>
  <c r="J59" i="7" s="1"/>
  <c r="K59" i="7" s="1"/>
  <c r="L59" i="7" s="1"/>
  <c r="P59" i="7" s="1"/>
  <c r="AD117" i="3"/>
  <c r="J117" i="7" s="1"/>
  <c r="K117" i="7" s="1"/>
  <c r="L117" i="7" s="1"/>
  <c r="P117" i="7" s="1"/>
  <c r="AD162" i="3"/>
  <c r="J162" i="7" s="1"/>
  <c r="K162" i="7" s="1"/>
  <c r="L162" i="7" s="1"/>
  <c r="P162" i="7" s="1"/>
  <c r="J264" i="5"/>
  <c r="Z262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0" i="3"/>
  <c r="J120" i="7" s="1"/>
  <c r="K120" i="7" s="1"/>
  <c r="L120" i="7" s="1"/>
  <c r="P120" i="7" s="1"/>
  <c r="AD154" i="3"/>
  <c r="J154" i="7" s="1"/>
  <c r="K154" i="7" s="1"/>
  <c r="L154" i="7" s="1"/>
  <c r="P154" i="7" s="1"/>
  <c r="AA262" i="3"/>
  <c r="AD86" i="3"/>
  <c r="J86" i="7" s="1"/>
  <c r="K86" i="7" s="1"/>
  <c r="L86" i="7" s="1"/>
  <c r="P86" i="7" s="1"/>
  <c r="AD11" i="3"/>
  <c r="J11" i="7" s="1"/>
  <c r="K11" i="7" s="1"/>
  <c r="L11" i="7" s="1"/>
  <c r="P11" i="7" s="1"/>
  <c r="W264" i="3"/>
  <c r="AA264" i="3" s="1"/>
  <c r="AD122" i="3"/>
  <c r="J122" i="7" s="1"/>
  <c r="K122" i="7" s="1"/>
  <c r="L122" i="7" s="1"/>
  <c r="P122" i="7" s="1"/>
  <c r="AD71" i="3"/>
  <c r="J71" i="7" s="1"/>
  <c r="K71" i="7" s="1"/>
  <c r="L71" i="7" s="1"/>
  <c r="P71" i="7" s="1"/>
  <c r="AD109" i="3"/>
  <c r="J109" i="7" s="1"/>
  <c r="K109" i="7" s="1"/>
  <c r="L109" i="7" s="1"/>
  <c r="P109" i="7" s="1"/>
  <c r="AD125" i="3"/>
  <c r="J125" i="7" s="1"/>
  <c r="K125" i="7" s="1"/>
  <c r="L125" i="7" s="1"/>
  <c r="P125" i="7" s="1"/>
  <c r="AD121" i="3"/>
  <c r="J121" i="7" s="1"/>
  <c r="K121" i="7" s="1"/>
  <c r="L121" i="7" s="1"/>
  <c r="P121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38" i="3"/>
  <c r="J138" i="7" s="1"/>
  <c r="K138" i="7" s="1"/>
  <c r="L138" i="7" s="1"/>
  <c r="P138" i="7" s="1"/>
  <c r="AD114" i="3"/>
  <c r="J114" i="7" s="1"/>
  <c r="K114" i="7" s="1"/>
  <c r="L114" i="7" s="1"/>
  <c r="P114" i="7" s="1"/>
  <c r="AD63" i="3"/>
  <c r="J63" i="7" s="1"/>
  <c r="K63" i="7" s="1"/>
  <c r="L63" i="7" s="1"/>
  <c r="P63" i="7" s="1"/>
  <c r="AD112" i="3"/>
  <c r="J112" i="7" s="1"/>
  <c r="K112" i="7" s="1"/>
  <c r="L112" i="7" s="1"/>
  <c r="P112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31" i="3"/>
  <c r="J31" i="7" s="1"/>
  <c r="K31" i="7" s="1"/>
  <c r="L31" i="7" s="1"/>
  <c r="P31" i="7" s="1"/>
  <c r="AB264" i="3"/>
  <c r="Z264" i="3"/>
  <c r="AB262" i="3"/>
  <c r="P5" i="7"/>
  <c r="R262" i="3"/>
  <c r="R264" i="3" s="1"/>
  <c r="P140" i="7"/>
  <c r="G6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G85" i="2"/>
  <c r="G86" i="2"/>
  <c r="G88" i="2"/>
  <c r="G90" i="2"/>
  <c r="G92" i="2"/>
  <c r="G94" i="2"/>
  <c r="G96" i="2"/>
  <c r="G98" i="2"/>
  <c r="G100" i="2"/>
  <c r="G102" i="2"/>
  <c r="G103" i="2"/>
  <c r="G105" i="2"/>
  <c r="G107" i="2"/>
  <c r="G11" i="2"/>
  <c r="G19" i="2"/>
  <c r="G27" i="2"/>
  <c r="G35" i="2"/>
  <c r="G43" i="2"/>
  <c r="G51" i="2"/>
  <c r="G58" i="2"/>
  <c r="G66" i="2"/>
  <c r="G74" i="2"/>
  <c r="G82" i="2"/>
  <c r="G89" i="2"/>
  <c r="G95" i="2"/>
  <c r="G110" i="2"/>
  <c r="G114" i="2"/>
  <c r="G118" i="2"/>
  <c r="G122" i="2"/>
  <c r="G126" i="2"/>
  <c r="G131" i="2"/>
  <c r="G135" i="2"/>
  <c r="G139" i="2"/>
  <c r="G143" i="2"/>
  <c r="G147" i="2"/>
  <c r="G151" i="2"/>
  <c r="G155" i="2"/>
  <c r="G159" i="2"/>
  <c r="G166" i="2"/>
  <c r="G170" i="2"/>
  <c r="G174" i="2"/>
  <c r="G178" i="2"/>
  <c r="G182" i="2"/>
  <c r="G186" i="2"/>
  <c r="G190" i="2"/>
  <c r="G194" i="2"/>
  <c r="G197" i="2"/>
  <c r="G201" i="2"/>
  <c r="G203" i="2"/>
  <c r="G205" i="2"/>
  <c r="G207" i="2"/>
  <c r="G209" i="2"/>
  <c r="G211" i="2"/>
  <c r="G213" i="2"/>
  <c r="G215" i="2"/>
  <c r="G217" i="2"/>
  <c r="G219" i="2"/>
  <c r="G221" i="2"/>
  <c r="G223" i="2"/>
  <c r="G225" i="2"/>
  <c r="G227" i="2"/>
  <c r="G229" i="2"/>
  <c r="G231" i="2"/>
  <c r="G234" i="2"/>
  <c r="G236" i="2"/>
  <c r="G238" i="2"/>
  <c r="G240" i="2"/>
  <c r="G242" i="2"/>
  <c r="G244" i="2"/>
  <c r="G246" i="2"/>
  <c r="G248" i="2"/>
  <c r="G250" i="2"/>
  <c r="G252" i="2"/>
  <c r="G254" i="2"/>
  <c r="G256" i="2"/>
  <c r="G258" i="2"/>
  <c r="G261" i="2"/>
  <c r="G13" i="2"/>
  <c r="G21" i="2"/>
  <c r="G29" i="2"/>
  <c r="G37" i="2"/>
  <c r="G45" i="2"/>
  <c r="G52" i="2"/>
  <c r="G60" i="2"/>
  <c r="G68" i="2"/>
  <c r="G76" i="2"/>
  <c r="G84" i="2"/>
  <c r="G91" i="2"/>
  <c r="G97" i="2"/>
  <c r="G104" i="2"/>
  <c r="G111" i="2"/>
  <c r="G115" i="2"/>
  <c r="G119" i="2"/>
  <c r="G123" i="2"/>
  <c r="G127" i="2"/>
  <c r="G132" i="2"/>
  <c r="G136" i="2"/>
  <c r="G140" i="2"/>
  <c r="G144" i="2"/>
  <c r="G148" i="2"/>
  <c r="G152" i="2"/>
  <c r="G156" i="2"/>
  <c r="G160" i="2"/>
  <c r="G163" i="2"/>
  <c r="G167" i="2"/>
  <c r="G171" i="2"/>
  <c r="G175" i="2"/>
  <c r="G179" i="2"/>
  <c r="G183" i="2"/>
  <c r="G187" i="2"/>
  <c r="G191" i="2"/>
  <c r="G195" i="2"/>
  <c r="G198" i="2"/>
  <c r="G7" i="2"/>
  <c r="G15" i="2"/>
  <c r="G23" i="2"/>
  <c r="G31" i="2"/>
  <c r="G39" i="2"/>
  <c r="G47" i="2"/>
  <c r="G54" i="2"/>
  <c r="G62" i="2"/>
  <c r="G70" i="2"/>
  <c r="G78" i="2"/>
  <c r="G93" i="2"/>
  <c r="G99" i="2"/>
  <c r="G106" i="2"/>
  <c r="G108" i="2"/>
  <c r="G112" i="2"/>
  <c r="G116" i="2"/>
  <c r="G120" i="2"/>
  <c r="G124" i="2"/>
  <c r="G129" i="2"/>
  <c r="G133" i="2"/>
  <c r="G137" i="2"/>
  <c r="G141" i="2"/>
  <c r="G145" i="2"/>
  <c r="G149" i="2"/>
  <c r="G153" i="2"/>
  <c r="G157" i="2"/>
  <c r="G161" i="2"/>
  <c r="G164" i="2"/>
  <c r="G168" i="2"/>
  <c r="G172" i="2"/>
  <c r="G176" i="2"/>
  <c r="G180" i="2"/>
  <c r="G184" i="2"/>
  <c r="G188" i="2"/>
  <c r="G192" i="2"/>
  <c r="G259" i="2"/>
  <c r="G199" i="2"/>
  <c r="G200" i="2"/>
  <c r="G202" i="2"/>
  <c r="G204" i="2"/>
  <c r="G206" i="2"/>
  <c r="G208" i="2"/>
  <c r="G210" i="2"/>
  <c r="G212" i="2"/>
  <c r="G214" i="2"/>
  <c r="G216" i="2"/>
  <c r="G218" i="2"/>
  <c r="G220" i="2"/>
  <c r="G222" i="2"/>
  <c r="G224" i="2"/>
  <c r="G226" i="2"/>
  <c r="G228" i="2"/>
  <c r="G230" i="2"/>
  <c r="G232" i="2"/>
  <c r="G235" i="2"/>
  <c r="G237" i="2"/>
  <c r="G239" i="2"/>
  <c r="G241" i="2"/>
  <c r="G243" i="2"/>
  <c r="G245" i="2"/>
  <c r="G247" i="2"/>
  <c r="G249" i="2"/>
  <c r="G251" i="2"/>
  <c r="G253" i="2"/>
  <c r="G255" i="2"/>
  <c r="G257" i="2"/>
  <c r="G260" i="2"/>
  <c r="G17" i="2"/>
  <c r="G49" i="2"/>
  <c r="G80" i="2"/>
  <c r="G113" i="2"/>
  <c r="G130" i="2"/>
  <c r="G146" i="2"/>
  <c r="G162" i="2"/>
  <c r="G177" i="2"/>
  <c r="G193" i="2"/>
  <c r="G25" i="2"/>
  <c r="G56" i="2"/>
  <c r="G87" i="2"/>
  <c r="G117" i="2"/>
  <c r="G134" i="2"/>
  <c r="G150" i="2"/>
  <c r="G165" i="2"/>
  <c r="G181" i="2"/>
  <c r="G196" i="2"/>
  <c r="G33" i="2"/>
  <c r="G64" i="2"/>
  <c r="G121" i="2"/>
  <c r="G138" i="2"/>
  <c r="G154" i="2"/>
  <c r="G169" i="2"/>
  <c r="G185" i="2"/>
  <c r="G9" i="2"/>
  <c r="G142" i="2"/>
  <c r="G41" i="2"/>
  <c r="G158" i="2"/>
  <c r="G101" i="2"/>
  <c r="G72" i="2"/>
  <c r="G109" i="2"/>
  <c r="G173" i="2"/>
  <c r="G125" i="2"/>
  <c r="G189" i="2"/>
  <c r="G5" i="2"/>
  <c r="L233" i="5" l="1"/>
  <c r="L128" i="5"/>
  <c r="T233" i="3"/>
  <c r="T128" i="3"/>
  <c r="L262" i="7"/>
  <c r="K262" i="7" s="1"/>
  <c r="H264" i="5"/>
  <c r="L169" i="5"/>
  <c r="L172" i="5"/>
  <c r="L174" i="5"/>
  <c r="L215" i="5"/>
  <c r="L212" i="5"/>
  <c r="L232" i="5"/>
  <c r="L40" i="5"/>
  <c r="L238" i="5"/>
  <c r="L46" i="5"/>
  <c r="L167" i="5"/>
  <c r="L218" i="5"/>
  <c r="L223" i="5"/>
  <c r="L105" i="5"/>
  <c r="L66" i="5"/>
  <c r="L49" i="5"/>
  <c r="L18" i="5"/>
  <c r="L200" i="5"/>
  <c r="L77" i="5"/>
  <c r="L205" i="5"/>
  <c r="L230" i="5"/>
  <c r="L236" i="5"/>
  <c r="L25" i="5"/>
  <c r="L91" i="5"/>
  <c r="L142" i="5"/>
  <c r="L131" i="5"/>
  <c r="L90" i="5"/>
  <c r="L97" i="5"/>
  <c r="L234" i="5"/>
  <c r="L22" i="5"/>
  <c r="L239" i="5"/>
  <c r="L244" i="5"/>
  <c r="L165" i="5"/>
  <c r="L45" i="5"/>
  <c r="L146" i="5"/>
  <c r="L138" i="5"/>
  <c r="L14" i="5"/>
  <c r="L126" i="5"/>
  <c r="L100" i="5"/>
  <c r="L108" i="5"/>
  <c r="L210" i="5"/>
  <c r="L216" i="5"/>
  <c r="L154" i="5"/>
  <c r="L92" i="5"/>
  <c r="L30" i="5"/>
  <c r="L221" i="5"/>
  <c r="L159" i="5"/>
  <c r="L51" i="5"/>
  <c r="L152" i="5"/>
  <c r="L24" i="5"/>
  <c r="L157" i="5"/>
  <c r="L27" i="5"/>
  <c r="L243" i="5"/>
  <c r="L120" i="5"/>
  <c r="L158" i="5"/>
  <c r="L147" i="5"/>
  <c r="L103" i="5"/>
  <c r="L112" i="5"/>
  <c r="L250" i="5"/>
  <c r="L69" i="5"/>
  <c r="L58" i="5"/>
  <c r="L32" i="5"/>
  <c r="L261" i="5"/>
  <c r="L168" i="5"/>
  <c r="L226" i="5"/>
  <c r="L151" i="5"/>
  <c r="L107" i="5"/>
  <c r="L87" i="5"/>
  <c r="L62" i="5"/>
  <c r="L249" i="5"/>
  <c r="L185" i="5"/>
  <c r="L121" i="5"/>
  <c r="L61" i="5"/>
  <c r="L254" i="5"/>
  <c r="L190" i="5"/>
  <c r="L110" i="5"/>
  <c r="L214" i="5"/>
  <c r="L86" i="5"/>
  <c r="L219" i="5"/>
  <c r="L9" i="5"/>
  <c r="L96" i="5"/>
  <c r="L7" i="5"/>
  <c r="L34" i="5"/>
  <c r="L235" i="5"/>
  <c r="L240" i="5"/>
  <c r="L13" i="5"/>
  <c r="L47" i="5"/>
  <c r="L193" i="5"/>
  <c r="L197" i="5"/>
  <c r="L160" i="5"/>
  <c r="L149" i="5"/>
  <c r="L186" i="5"/>
  <c r="L95" i="5"/>
  <c r="L140" i="5"/>
  <c r="L198" i="5"/>
  <c r="L132" i="5"/>
  <c r="L71" i="5"/>
  <c r="L8" i="5"/>
  <c r="L203" i="5"/>
  <c r="L141" i="5"/>
  <c r="L80" i="5"/>
  <c r="L11" i="5"/>
  <c r="L179" i="5"/>
  <c r="L184" i="5"/>
  <c r="L60" i="5"/>
  <c r="L220" i="5"/>
  <c r="L94" i="5"/>
  <c r="L225" i="5"/>
  <c r="L171" i="5"/>
  <c r="L44" i="5"/>
  <c r="L176" i="5"/>
  <c r="L52" i="5"/>
  <c r="L117" i="5"/>
  <c r="L170" i="5"/>
  <c r="L111" i="5"/>
  <c r="L257" i="5"/>
  <c r="L130" i="5"/>
  <c r="L6" i="5"/>
  <c r="L135" i="5"/>
  <c r="L222" i="5"/>
  <c r="L227" i="5"/>
  <c r="L72" i="5"/>
  <c r="L134" i="5"/>
  <c r="L83" i="5"/>
  <c r="L23" i="5"/>
  <c r="L143" i="5"/>
  <c r="L82" i="5"/>
  <c r="L247" i="5"/>
  <c r="L183" i="5"/>
  <c r="L115" i="5"/>
  <c r="L55" i="5"/>
  <c r="L252" i="5"/>
  <c r="L188" i="5"/>
  <c r="L124" i="5"/>
  <c r="L64" i="5"/>
  <c r="L41" i="5"/>
  <c r="L260" i="5"/>
  <c r="L127" i="5"/>
  <c r="L153" i="5"/>
  <c r="L39" i="5"/>
  <c r="L204" i="5"/>
  <c r="L81" i="5"/>
  <c r="L209" i="5"/>
  <c r="L70" i="5"/>
  <c r="L156" i="5"/>
  <c r="L28" i="5"/>
  <c r="L161" i="5"/>
  <c r="L31" i="5"/>
  <c r="L88" i="5"/>
  <c r="L155" i="5"/>
  <c r="L67" i="5"/>
  <c r="L208" i="5"/>
  <c r="L85" i="5"/>
  <c r="L213" i="5"/>
  <c r="L74" i="5"/>
  <c r="L175" i="5"/>
  <c r="L48" i="5"/>
  <c r="L164" i="5"/>
  <c r="L33" i="5"/>
  <c r="L10" i="5"/>
  <c r="L199" i="5"/>
  <c r="L253" i="5"/>
  <c r="L189" i="5"/>
  <c r="L125" i="5"/>
  <c r="L65" i="5"/>
  <c r="L258" i="5"/>
  <c r="L194" i="5"/>
  <c r="L114" i="5"/>
  <c r="L54" i="5"/>
  <c r="L202" i="5"/>
  <c r="L136" i="5"/>
  <c r="L75" i="5"/>
  <c r="L12" i="5"/>
  <c r="L207" i="5"/>
  <c r="L145" i="5"/>
  <c r="L84" i="5"/>
  <c r="L15" i="5"/>
  <c r="L181" i="5"/>
  <c r="L57" i="5"/>
  <c r="L217" i="5"/>
  <c r="L122" i="5"/>
  <c r="L195" i="5"/>
  <c r="L36" i="5"/>
  <c r="L241" i="5"/>
  <c r="L177" i="5"/>
  <c r="L113" i="5"/>
  <c r="L53" i="5"/>
  <c r="L246" i="5"/>
  <c r="L182" i="5"/>
  <c r="L118" i="5"/>
  <c r="L43" i="5"/>
  <c r="L206" i="5"/>
  <c r="L144" i="5"/>
  <c r="L79" i="5"/>
  <c r="L16" i="5"/>
  <c r="L211" i="5"/>
  <c r="L133" i="5"/>
  <c r="L35" i="5"/>
  <c r="L245" i="5"/>
  <c r="L102" i="5"/>
  <c r="L106" i="5"/>
  <c r="L20" i="5"/>
  <c r="L137" i="5"/>
  <c r="L21" i="5"/>
  <c r="L237" i="5"/>
  <c r="L173" i="5"/>
  <c r="L109" i="5"/>
  <c r="L50" i="5"/>
  <c r="L242" i="5"/>
  <c r="L178" i="5"/>
  <c r="L99" i="5"/>
  <c r="L251" i="5"/>
  <c r="L187" i="5"/>
  <c r="L119" i="5"/>
  <c r="L59" i="5"/>
  <c r="L256" i="5"/>
  <c r="L192" i="5"/>
  <c r="L129" i="5"/>
  <c r="L68" i="5"/>
  <c r="L29" i="5"/>
  <c r="L150" i="5"/>
  <c r="L26" i="5"/>
  <c r="L201" i="5"/>
  <c r="L78" i="5"/>
  <c r="L163" i="5"/>
  <c r="L224" i="5"/>
  <c r="L162" i="5"/>
  <c r="L98" i="5"/>
  <c r="L38" i="5"/>
  <c r="L229" i="5"/>
  <c r="L166" i="5"/>
  <c r="L89" i="5"/>
  <c r="L255" i="5"/>
  <c r="L191" i="5"/>
  <c r="L123" i="5"/>
  <c r="L63" i="5"/>
  <c r="L5" i="5"/>
  <c r="L259" i="5"/>
  <c r="L101" i="5"/>
  <c r="L19" i="5"/>
  <c r="L228" i="5"/>
  <c r="L42" i="5"/>
  <c r="L93" i="5"/>
  <c r="L248" i="5"/>
  <c r="L76" i="5"/>
  <c r="AD262" i="3"/>
  <c r="J262" i="7" s="1"/>
  <c r="L180" i="5"/>
  <c r="L116" i="5"/>
  <c r="L56" i="5"/>
  <c r="L17" i="5"/>
  <c r="L196" i="5"/>
  <c r="L73" i="5"/>
  <c r="L139" i="5"/>
  <c r="L148" i="5"/>
  <c r="L231" i="5"/>
  <c r="L104" i="5"/>
  <c r="L37" i="5"/>
  <c r="AD264" i="3"/>
  <c r="J264" i="7" s="1"/>
  <c r="T140" i="3"/>
  <c r="T20" i="3"/>
  <c r="T50" i="3"/>
  <c r="T228" i="3"/>
  <c r="T73" i="3"/>
  <c r="T193" i="3"/>
  <c r="T24" i="3"/>
  <c r="T100" i="3"/>
  <c r="T222" i="3"/>
  <c r="T98" i="3"/>
  <c r="T32" i="3"/>
  <c r="T220" i="3"/>
  <c r="T165" i="3"/>
  <c r="T210" i="3"/>
  <c r="T57" i="3"/>
  <c r="T162" i="3"/>
  <c r="T257" i="3"/>
  <c r="T86" i="3"/>
  <c r="T191" i="3"/>
  <c r="T202" i="3"/>
  <c r="T200" i="3"/>
  <c r="T247" i="3"/>
  <c r="T85" i="3"/>
  <c r="T77" i="3"/>
  <c r="T148" i="3"/>
  <c r="T42" i="3"/>
  <c r="T146" i="3"/>
  <c r="T224" i="3"/>
  <c r="T71" i="3"/>
  <c r="T175" i="3"/>
  <c r="T255" i="3"/>
  <c r="T96" i="3"/>
  <c r="T138" i="3"/>
  <c r="T183" i="3"/>
  <c r="T208" i="3"/>
  <c r="T59" i="3"/>
  <c r="T130" i="3"/>
  <c r="T40" i="3"/>
  <c r="T160" i="3"/>
  <c r="T239" i="3"/>
  <c r="T260" i="3"/>
  <c r="T195" i="3"/>
  <c r="T132" i="3"/>
  <c r="T44" i="3"/>
  <c r="T212" i="3"/>
  <c r="T150" i="3"/>
  <c r="T61" i="3"/>
  <c r="T204" i="3"/>
  <c r="T53" i="3"/>
  <c r="T230" i="3"/>
  <c r="T167" i="3"/>
  <c r="T79" i="3"/>
  <c r="T249" i="3"/>
  <c r="T185" i="3"/>
  <c r="T94" i="3"/>
  <c r="T34" i="3"/>
  <c r="T251" i="3"/>
  <c r="T187" i="3"/>
  <c r="T83" i="3"/>
  <c r="T237" i="3"/>
  <c r="T69" i="3"/>
  <c r="P262" i="7"/>
  <c r="T7" i="3"/>
  <c r="T9" i="3"/>
  <c r="T11" i="3"/>
  <c r="T13" i="3"/>
  <c r="T15" i="3"/>
  <c r="T17" i="3"/>
  <c r="T19" i="3"/>
  <c r="T21" i="3"/>
  <c r="T23" i="3"/>
  <c r="T25" i="3"/>
  <c r="T27" i="3"/>
  <c r="T29" i="3"/>
  <c r="T31" i="3"/>
  <c r="T33" i="3"/>
  <c r="T35" i="3"/>
  <c r="T37" i="3"/>
  <c r="T39" i="3"/>
  <c r="T41" i="3"/>
  <c r="T43" i="3"/>
  <c r="T45" i="3"/>
  <c r="T47" i="3"/>
  <c r="T49" i="3"/>
  <c r="T51" i="3"/>
  <c r="T52" i="3"/>
  <c r="T54" i="3"/>
  <c r="T56" i="3"/>
  <c r="T58" i="3"/>
  <c r="T60" i="3"/>
  <c r="T62" i="3"/>
  <c r="T64" i="3"/>
  <c r="T66" i="3"/>
  <c r="T68" i="3"/>
  <c r="T70" i="3"/>
  <c r="T72" i="3"/>
  <c r="T74" i="3"/>
  <c r="T76" i="3"/>
  <c r="T78" i="3"/>
  <c r="T80" i="3"/>
  <c r="T82" i="3"/>
  <c r="T84" i="3"/>
  <c r="T87" i="3"/>
  <c r="T89" i="3"/>
  <c r="T91" i="3"/>
  <c r="T93" i="3"/>
  <c r="T95" i="3"/>
  <c r="T97" i="3"/>
  <c r="T99" i="3"/>
  <c r="T101" i="3"/>
  <c r="T104" i="3"/>
  <c r="T106" i="3"/>
  <c r="T8" i="3"/>
  <c r="T16" i="3"/>
  <c r="T107" i="3"/>
  <c r="T111" i="3"/>
  <c r="T115" i="3"/>
  <c r="T119" i="3"/>
  <c r="T123" i="3"/>
  <c r="T127" i="3"/>
  <c r="T10" i="3"/>
  <c r="T102" i="3"/>
  <c r="T108" i="3"/>
  <c r="T112" i="3"/>
  <c r="T116" i="3"/>
  <c r="T120" i="3"/>
  <c r="T124" i="3"/>
  <c r="T129" i="3"/>
  <c r="T133" i="3"/>
  <c r="T137" i="3"/>
  <c r="T141" i="3"/>
  <c r="T145" i="3"/>
  <c r="T149" i="3"/>
  <c r="T153" i="3"/>
  <c r="T157" i="3"/>
  <c r="T161" i="3"/>
  <c r="T164" i="3"/>
  <c r="T168" i="3"/>
  <c r="T172" i="3"/>
  <c r="T176" i="3"/>
  <c r="T180" i="3"/>
  <c r="T184" i="3"/>
  <c r="T188" i="3"/>
  <c r="T192" i="3"/>
  <c r="T259" i="3"/>
  <c r="T199" i="3"/>
  <c r="T12" i="3"/>
  <c r="T103" i="3"/>
  <c r="T109" i="3"/>
  <c r="T113" i="3"/>
  <c r="T117" i="3"/>
  <c r="T121" i="3"/>
  <c r="T125" i="3"/>
  <c r="T201" i="3"/>
  <c r="T203" i="3"/>
  <c r="T205" i="3"/>
  <c r="T207" i="3"/>
  <c r="T209" i="3"/>
  <c r="T211" i="3"/>
  <c r="T213" i="3"/>
  <c r="T215" i="3"/>
  <c r="T217" i="3"/>
  <c r="T219" i="3"/>
  <c r="T221" i="3"/>
  <c r="T223" i="3"/>
  <c r="T225" i="3"/>
  <c r="T227" i="3"/>
  <c r="T229" i="3"/>
  <c r="T231" i="3"/>
  <c r="T234" i="3"/>
  <c r="T236" i="3"/>
  <c r="T238" i="3"/>
  <c r="T240" i="3"/>
  <c r="T242" i="3"/>
  <c r="T244" i="3"/>
  <c r="T246" i="3"/>
  <c r="T248" i="3"/>
  <c r="T250" i="3"/>
  <c r="T252" i="3"/>
  <c r="T254" i="3"/>
  <c r="T256" i="3"/>
  <c r="T258" i="3"/>
  <c r="T261" i="3"/>
  <c r="T6" i="3"/>
  <c r="T118" i="3"/>
  <c r="T135" i="3"/>
  <c r="T151" i="3"/>
  <c r="T166" i="3"/>
  <c r="T182" i="3"/>
  <c r="T197" i="3"/>
  <c r="T14" i="3"/>
  <c r="T105" i="3"/>
  <c r="T122" i="3"/>
  <c r="T139" i="3"/>
  <c r="T155" i="3"/>
  <c r="T170" i="3"/>
  <c r="T186" i="3"/>
  <c r="T110" i="3"/>
  <c r="T126" i="3"/>
  <c r="T143" i="3"/>
  <c r="T159" i="3"/>
  <c r="T174" i="3"/>
  <c r="T190" i="3"/>
  <c r="T147" i="3"/>
  <c r="T114" i="3"/>
  <c r="T178" i="3"/>
  <c r="T131" i="3"/>
  <c r="T194" i="3"/>
  <c r="T5" i="3"/>
  <c r="C5" i="1"/>
  <c r="T206" i="3"/>
  <c r="T144" i="3"/>
  <c r="T55" i="3"/>
  <c r="T241" i="3"/>
  <c r="T177" i="3"/>
  <c r="T88" i="3"/>
  <c r="T26" i="3"/>
  <c r="T226" i="3"/>
  <c r="T163" i="3"/>
  <c r="T75" i="3"/>
  <c r="T245" i="3"/>
  <c r="T181" i="3"/>
  <c r="T92" i="3"/>
  <c r="T30" i="3"/>
  <c r="T253" i="3"/>
  <c r="T142" i="3"/>
  <c r="T198" i="3"/>
  <c r="T136" i="3"/>
  <c r="T48" i="3"/>
  <c r="T216" i="3"/>
  <c r="T154" i="3"/>
  <c r="T65" i="3"/>
  <c r="T218" i="3"/>
  <c r="T156" i="3"/>
  <c r="T36" i="3"/>
  <c r="T158" i="3"/>
  <c r="T18" i="3"/>
  <c r="G262" i="2"/>
  <c r="G264" i="2" s="1"/>
  <c r="T243" i="3"/>
  <c r="T179" i="3"/>
  <c r="T90" i="3"/>
  <c r="T28" i="3"/>
  <c r="T196" i="3"/>
  <c r="T134" i="3"/>
  <c r="T46" i="3"/>
  <c r="T67" i="3"/>
  <c r="T173" i="3"/>
  <c r="T22" i="3"/>
  <c r="T214" i="3"/>
  <c r="T152" i="3"/>
  <c r="T63" i="3"/>
  <c r="T232" i="3"/>
  <c r="T169" i="3"/>
  <c r="T81" i="3"/>
  <c r="T235" i="3"/>
  <c r="T171" i="3"/>
  <c r="T189" i="3"/>
  <c r="T38" i="3"/>
  <c r="N139" i="5" l="1"/>
  <c r="P139" i="5" s="1"/>
  <c r="R139" i="5" s="1"/>
  <c r="V139" i="5" s="1"/>
  <c r="N5" i="5"/>
  <c r="P5" i="5" s="1"/>
  <c r="R5" i="5" s="1"/>
  <c r="N237" i="5"/>
  <c r="P237" i="5" s="1"/>
  <c r="R237" i="5" s="1"/>
  <c r="V237" i="5" s="1"/>
  <c r="N133" i="5"/>
  <c r="P133" i="5" s="1"/>
  <c r="R133" i="5" s="1"/>
  <c r="V133" i="5" s="1"/>
  <c r="N182" i="5"/>
  <c r="P182" i="5" s="1"/>
  <c r="R182" i="5" s="1"/>
  <c r="V182" i="5" s="1"/>
  <c r="N122" i="5"/>
  <c r="P122" i="5" s="1"/>
  <c r="R122" i="5" s="1"/>
  <c r="V122" i="5" s="1"/>
  <c r="N88" i="5"/>
  <c r="P88" i="5" s="1"/>
  <c r="R88" i="5" s="1"/>
  <c r="V88" i="5" s="1"/>
  <c r="N204" i="5"/>
  <c r="P204" i="5" s="1"/>
  <c r="R204" i="5" s="1"/>
  <c r="V204" i="5" s="1"/>
  <c r="N188" i="5"/>
  <c r="P188" i="5" s="1"/>
  <c r="R188" i="5" s="1"/>
  <c r="V188" i="5" s="1"/>
  <c r="N23" i="5"/>
  <c r="P23" i="5" s="1"/>
  <c r="R23" i="5" s="1"/>
  <c r="V23" i="5" s="1"/>
  <c r="N6" i="5"/>
  <c r="P6" i="5" s="1"/>
  <c r="R6" i="5" s="1"/>
  <c r="V6" i="5" s="1"/>
  <c r="N44" i="5"/>
  <c r="P44" i="5" s="1"/>
  <c r="R44" i="5" s="1"/>
  <c r="V44" i="5" s="1"/>
  <c r="N179" i="5"/>
  <c r="P179" i="5" s="1"/>
  <c r="R179" i="5" s="1"/>
  <c r="V179" i="5" s="1"/>
  <c r="N198" i="5"/>
  <c r="P198" i="5" s="1"/>
  <c r="R198" i="5" s="1"/>
  <c r="V198" i="5" s="1"/>
  <c r="N47" i="5"/>
  <c r="P47" i="5" s="1"/>
  <c r="R47" i="5" s="1"/>
  <c r="V47" i="5" s="1"/>
  <c r="N121" i="5"/>
  <c r="P121" i="5" s="1"/>
  <c r="R121" i="5" s="1"/>
  <c r="V121" i="5" s="1"/>
  <c r="N147" i="5"/>
  <c r="P147" i="5" s="1"/>
  <c r="R147" i="5" s="1"/>
  <c r="V147" i="5" s="1"/>
  <c r="N108" i="5"/>
  <c r="P108" i="5" s="1"/>
  <c r="R108" i="5" s="1"/>
  <c r="V108" i="5" s="1"/>
  <c r="N244" i="5"/>
  <c r="P244" i="5" s="1"/>
  <c r="R244" i="5" s="1"/>
  <c r="V244" i="5" s="1"/>
  <c r="N40" i="5"/>
  <c r="P40" i="5" s="1"/>
  <c r="R40" i="5" s="1"/>
  <c r="V40" i="5" s="1"/>
  <c r="N73" i="5"/>
  <c r="P73" i="5" s="1"/>
  <c r="R73" i="5" s="1"/>
  <c r="V73" i="5" s="1"/>
  <c r="N29" i="5"/>
  <c r="P29" i="5" s="1"/>
  <c r="R29" i="5" s="1"/>
  <c r="V29" i="5" s="1"/>
  <c r="N251" i="5"/>
  <c r="P251" i="5" s="1"/>
  <c r="R251" i="5" s="1"/>
  <c r="V251" i="5" s="1"/>
  <c r="N21" i="5"/>
  <c r="P21" i="5" s="1"/>
  <c r="R21" i="5" s="1"/>
  <c r="V21" i="5" s="1"/>
  <c r="N211" i="5"/>
  <c r="P211" i="5" s="1"/>
  <c r="R211" i="5" s="1"/>
  <c r="V211" i="5" s="1"/>
  <c r="N39" i="5"/>
  <c r="P39" i="5" s="1"/>
  <c r="R39" i="5" s="1"/>
  <c r="V39" i="5" s="1"/>
  <c r="N252" i="5"/>
  <c r="P252" i="5" s="1"/>
  <c r="R252" i="5" s="1"/>
  <c r="V252" i="5" s="1"/>
  <c r="N130" i="5"/>
  <c r="P130" i="5" s="1"/>
  <c r="R130" i="5" s="1"/>
  <c r="V130" i="5" s="1"/>
  <c r="N171" i="5"/>
  <c r="P171" i="5" s="1"/>
  <c r="R171" i="5" s="1"/>
  <c r="V171" i="5" s="1"/>
  <c r="N11" i="5"/>
  <c r="P11" i="5" s="1"/>
  <c r="R11" i="5" s="1"/>
  <c r="V11" i="5" s="1"/>
  <c r="N13" i="5"/>
  <c r="P13" i="5" s="1"/>
  <c r="R13" i="5" s="1"/>
  <c r="V13" i="5" s="1"/>
  <c r="N219" i="5"/>
  <c r="P219" i="5" s="1"/>
  <c r="R219" i="5" s="1"/>
  <c r="V219" i="5" s="1"/>
  <c r="N185" i="5"/>
  <c r="P185" i="5" s="1"/>
  <c r="R185" i="5" s="1"/>
  <c r="V185" i="5" s="1"/>
  <c r="N159" i="5"/>
  <c r="P159" i="5" s="1"/>
  <c r="R159" i="5" s="1"/>
  <c r="V159" i="5" s="1"/>
  <c r="N25" i="5"/>
  <c r="P25" i="5" s="1"/>
  <c r="R25" i="5" s="1"/>
  <c r="V25" i="5" s="1"/>
  <c r="N196" i="5"/>
  <c r="P196" i="5" s="1"/>
  <c r="R196" i="5" s="1"/>
  <c r="V196" i="5" s="1"/>
  <c r="N93" i="5"/>
  <c r="P93" i="5" s="1"/>
  <c r="R93" i="5" s="1"/>
  <c r="V93" i="5" s="1"/>
  <c r="N162" i="5"/>
  <c r="P162" i="5" s="1"/>
  <c r="R162" i="5" s="1"/>
  <c r="V162" i="5" s="1"/>
  <c r="N99" i="5"/>
  <c r="P99" i="5" s="1"/>
  <c r="R99" i="5" s="1"/>
  <c r="V99" i="5" s="1"/>
  <c r="N137" i="5"/>
  <c r="P137" i="5" s="1"/>
  <c r="R137" i="5" s="1"/>
  <c r="V137" i="5" s="1"/>
  <c r="N16" i="5"/>
  <c r="P16" i="5" s="1"/>
  <c r="R16" i="5" s="1"/>
  <c r="V16" i="5" s="1"/>
  <c r="N136" i="5"/>
  <c r="P136" i="5" s="1"/>
  <c r="R136" i="5" s="1"/>
  <c r="V136" i="5" s="1"/>
  <c r="N74" i="5"/>
  <c r="P74" i="5" s="1"/>
  <c r="R74" i="5" s="1"/>
  <c r="V74" i="5" s="1"/>
  <c r="N161" i="5"/>
  <c r="P161" i="5" s="1"/>
  <c r="R161" i="5" s="1"/>
  <c r="V161" i="5" s="1"/>
  <c r="N153" i="5"/>
  <c r="P153" i="5" s="1"/>
  <c r="R153" i="5" s="1"/>
  <c r="V153" i="5" s="1"/>
  <c r="N55" i="5"/>
  <c r="P55" i="5" s="1"/>
  <c r="R55" i="5" s="1"/>
  <c r="V55" i="5" s="1"/>
  <c r="N257" i="5"/>
  <c r="P257" i="5" s="1"/>
  <c r="R257" i="5" s="1"/>
  <c r="V257" i="5" s="1"/>
  <c r="N80" i="5"/>
  <c r="P80" i="5" s="1"/>
  <c r="R80" i="5" s="1"/>
  <c r="V80" i="5" s="1"/>
  <c r="N240" i="5"/>
  <c r="P240" i="5" s="1"/>
  <c r="R240" i="5" s="1"/>
  <c r="V240" i="5" s="1"/>
  <c r="N86" i="5"/>
  <c r="P86" i="5" s="1"/>
  <c r="R86" i="5" s="1"/>
  <c r="V86" i="5" s="1"/>
  <c r="N249" i="5"/>
  <c r="P249" i="5" s="1"/>
  <c r="R249" i="5" s="1"/>
  <c r="V249" i="5" s="1"/>
  <c r="N120" i="5"/>
  <c r="P120" i="5" s="1"/>
  <c r="R120" i="5" s="1"/>
  <c r="V120" i="5" s="1"/>
  <c r="N221" i="5"/>
  <c r="P221" i="5" s="1"/>
  <c r="R221" i="5" s="1"/>
  <c r="V221" i="5" s="1"/>
  <c r="N22" i="5"/>
  <c r="P22" i="5" s="1"/>
  <c r="R22" i="5" s="1"/>
  <c r="V22" i="5" s="1"/>
  <c r="N236" i="5"/>
  <c r="P236" i="5" s="1"/>
  <c r="R236" i="5" s="1"/>
  <c r="V236" i="5" s="1"/>
  <c r="N105" i="5"/>
  <c r="P105" i="5" s="1"/>
  <c r="R105" i="5" s="1"/>
  <c r="V105" i="5" s="1"/>
  <c r="N212" i="5"/>
  <c r="P212" i="5" s="1"/>
  <c r="R212" i="5" s="1"/>
  <c r="V212" i="5" s="1"/>
  <c r="N150" i="5"/>
  <c r="P150" i="5" s="1"/>
  <c r="R150" i="5" s="1"/>
  <c r="V150" i="5" s="1"/>
  <c r="N65" i="5"/>
  <c r="P65" i="5" s="1"/>
  <c r="R65" i="5" s="1"/>
  <c r="V65" i="5" s="1"/>
  <c r="N129" i="5"/>
  <c r="P129" i="5" s="1"/>
  <c r="R129" i="5" s="1"/>
  <c r="V129" i="5" s="1"/>
  <c r="N202" i="5"/>
  <c r="P202" i="5" s="1"/>
  <c r="R202" i="5" s="1"/>
  <c r="V202" i="5" s="1"/>
  <c r="N28" i="5"/>
  <c r="P28" i="5" s="1"/>
  <c r="R28" i="5" s="1"/>
  <c r="V28" i="5" s="1"/>
  <c r="N214" i="5"/>
  <c r="P214" i="5" s="1"/>
  <c r="R214" i="5" s="1"/>
  <c r="V214" i="5" s="1"/>
  <c r="N58" i="5"/>
  <c r="P58" i="5" s="1"/>
  <c r="R58" i="5" s="1"/>
  <c r="V58" i="5" s="1"/>
  <c r="N243" i="5"/>
  <c r="P243" i="5" s="1"/>
  <c r="R243" i="5" s="1"/>
  <c r="V243" i="5" s="1"/>
  <c r="N14" i="5"/>
  <c r="P14" i="5" s="1"/>
  <c r="R14" i="5" s="1"/>
  <c r="V14" i="5" s="1"/>
  <c r="N230" i="5"/>
  <c r="P230" i="5" s="1"/>
  <c r="R230" i="5" s="1"/>
  <c r="V230" i="5" s="1"/>
  <c r="N228" i="5"/>
  <c r="P228" i="5" s="1"/>
  <c r="R228" i="5" s="1"/>
  <c r="V228" i="5" s="1"/>
  <c r="N255" i="5"/>
  <c r="P255" i="5" s="1"/>
  <c r="R255" i="5" s="1"/>
  <c r="V255" i="5" s="1"/>
  <c r="N192" i="5"/>
  <c r="P192" i="5" s="1"/>
  <c r="R192" i="5" s="1"/>
  <c r="V192" i="5" s="1"/>
  <c r="N242" i="5"/>
  <c r="P242" i="5" s="1"/>
  <c r="R242" i="5" s="1"/>
  <c r="V242" i="5" s="1"/>
  <c r="N106" i="5"/>
  <c r="P106" i="5" s="1"/>
  <c r="R106" i="5" s="1"/>
  <c r="V106" i="5" s="1"/>
  <c r="N144" i="5"/>
  <c r="P144" i="5" s="1"/>
  <c r="R144" i="5" s="1"/>
  <c r="V144" i="5" s="1"/>
  <c r="N54" i="5"/>
  <c r="P54" i="5" s="1"/>
  <c r="R54" i="5" s="1"/>
  <c r="V54" i="5" s="1"/>
  <c r="N85" i="5"/>
  <c r="P85" i="5" s="1"/>
  <c r="R85" i="5" s="1"/>
  <c r="V85" i="5" s="1"/>
  <c r="N156" i="5"/>
  <c r="P156" i="5" s="1"/>
  <c r="R156" i="5" s="1"/>
  <c r="V156" i="5" s="1"/>
  <c r="N260" i="5"/>
  <c r="P260" i="5" s="1"/>
  <c r="R260" i="5" s="1"/>
  <c r="V260" i="5" s="1"/>
  <c r="N183" i="5"/>
  <c r="P183" i="5" s="1"/>
  <c r="R183" i="5" s="1"/>
  <c r="V183" i="5" s="1"/>
  <c r="N227" i="5"/>
  <c r="P227" i="5" s="1"/>
  <c r="R227" i="5" s="1"/>
  <c r="V227" i="5" s="1"/>
  <c r="N94" i="5"/>
  <c r="P94" i="5" s="1"/>
  <c r="R94" i="5" s="1"/>
  <c r="V94" i="5" s="1"/>
  <c r="N203" i="5"/>
  <c r="P203" i="5" s="1"/>
  <c r="R203" i="5" s="1"/>
  <c r="V203" i="5" s="1"/>
  <c r="N149" i="5"/>
  <c r="P149" i="5" s="1"/>
  <c r="R149" i="5" s="1"/>
  <c r="V149" i="5" s="1"/>
  <c r="N69" i="5"/>
  <c r="P69" i="5" s="1"/>
  <c r="R69" i="5" s="1"/>
  <c r="V69" i="5" s="1"/>
  <c r="N92" i="5"/>
  <c r="P92" i="5" s="1"/>
  <c r="R92" i="5" s="1"/>
  <c r="V92" i="5" s="1"/>
  <c r="N97" i="5"/>
  <c r="P97" i="5" s="1"/>
  <c r="R97" i="5" s="1"/>
  <c r="V97" i="5" s="1"/>
  <c r="N218" i="5"/>
  <c r="P218" i="5" s="1"/>
  <c r="R218" i="5" s="1"/>
  <c r="V218" i="5" s="1"/>
  <c r="N174" i="5"/>
  <c r="P174" i="5" s="1"/>
  <c r="R174" i="5" s="1"/>
  <c r="V174" i="5" s="1"/>
  <c r="N116" i="5"/>
  <c r="P116" i="5" s="1"/>
  <c r="R116" i="5" s="1"/>
  <c r="V116" i="5" s="1"/>
  <c r="N89" i="5"/>
  <c r="P89" i="5" s="1"/>
  <c r="R89" i="5" s="1"/>
  <c r="V89" i="5" s="1"/>
  <c r="N78" i="5"/>
  <c r="P78" i="5" s="1"/>
  <c r="R78" i="5" s="1"/>
  <c r="V78" i="5" s="1"/>
  <c r="N102" i="5"/>
  <c r="P102" i="5" s="1"/>
  <c r="R102" i="5" s="1"/>
  <c r="V102" i="5" s="1"/>
  <c r="N10" i="5"/>
  <c r="P10" i="5" s="1"/>
  <c r="R10" i="5" s="1"/>
  <c r="V10" i="5" s="1"/>
  <c r="N117" i="5"/>
  <c r="P117" i="5" s="1"/>
  <c r="R117" i="5" s="1"/>
  <c r="V117" i="5" s="1"/>
  <c r="N107" i="5"/>
  <c r="P107" i="5" s="1"/>
  <c r="R107" i="5" s="1"/>
  <c r="V107" i="5" s="1"/>
  <c r="N250" i="5"/>
  <c r="P250" i="5" s="1"/>
  <c r="R250" i="5" s="1"/>
  <c r="V250" i="5" s="1"/>
  <c r="N90" i="5"/>
  <c r="P90" i="5" s="1"/>
  <c r="R90" i="5" s="1"/>
  <c r="V90" i="5" s="1"/>
  <c r="N77" i="5"/>
  <c r="P77" i="5" s="1"/>
  <c r="R77" i="5" s="1"/>
  <c r="V77" i="5" s="1"/>
  <c r="N167" i="5"/>
  <c r="P167" i="5" s="1"/>
  <c r="R167" i="5" s="1"/>
  <c r="V167" i="5" s="1"/>
  <c r="N172" i="5"/>
  <c r="P172" i="5" s="1"/>
  <c r="R172" i="5" s="1"/>
  <c r="V172" i="5" s="1"/>
  <c r="N12" i="5"/>
  <c r="P12" i="5" s="1"/>
  <c r="R12" i="5" s="1"/>
  <c r="V12" i="5" s="1"/>
  <c r="N191" i="5"/>
  <c r="P191" i="5" s="1"/>
  <c r="R191" i="5" s="1"/>
  <c r="V191" i="5" s="1"/>
  <c r="N178" i="5"/>
  <c r="P178" i="5" s="1"/>
  <c r="R178" i="5" s="1"/>
  <c r="V178" i="5" s="1"/>
  <c r="N113" i="5"/>
  <c r="P113" i="5" s="1"/>
  <c r="R113" i="5" s="1"/>
  <c r="V113" i="5" s="1"/>
  <c r="N253" i="5"/>
  <c r="P253" i="5" s="1"/>
  <c r="R253" i="5" s="1"/>
  <c r="V253" i="5" s="1"/>
  <c r="N115" i="5"/>
  <c r="P115" i="5" s="1"/>
  <c r="R115" i="5" s="1"/>
  <c r="V115" i="5" s="1"/>
  <c r="N186" i="5"/>
  <c r="P186" i="5" s="1"/>
  <c r="R186" i="5" s="1"/>
  <c r="V186" i="5" s="1"/>
  <c r="N231" i="5"/>
  <c r="P231" i="5" s="1"/>
  <c r="R231" i="5" s="1"/>
  <c r="V231" i="5" s="1"/>
  <c r="N36" i="5"/>
  <c r="P36" i="5" s="1"/>
  <c r="R36" i="5" s="1"/>
  <c r="V36" i="5" s="1"/>
  <c r="N64" i="5"/>
  <c r="P64" i="5" s="1"/>
  <c r="R64" i="5" s="1"/>
  <c r="V64" i="5" s="1"/>
  <c r="N222" i="5"/>
  <c r="P222" i="5" s="1"/>
  <c r="R222" i="5" s="1"/>
  <c r="V222" i="5" s="1"/>
  <c r="N60" i="5"/>
  <c r="P60" i="5" s="1"/>
  <c r="R60" i="5" s="1"/>
  <c r="V60" i="5" s="1"/>
  <c r="N197" i="5"/>
  <c r="P197" i="5" s="1"/>
  <c r="R197" i="5" s="1"/>
  <c r="V197" i="5" s="1"/>
  <c r="N254" i="5"/>
  <c r="P254" i="5" s="1"/>
  <c r="R254" i="5" s="1"/>
  <c r="V254" i="5" s="1"/>
  <c r="N112" i="5"/>
  <c r="P112" i="5" s="1"/>
  <c r="R112" i="5" s="1"/>
  <c r="V112" i="5" s="1"/>
  <c r="N216" i="5"/>
  <c r="P216" i="5" s="1"/>
  <c r="R216" i="5" s="1"/>
  <c r="V216" i="5" s="1"/>
  <c r="N45" i="5"/>
  <c r="P45" i="5" s="1"/>
  <c r="R45" i="5" s="1"/>
  <c r="V45" i="5" s="1"/>
  <c r="N200" i="5"/>
  <c r="P200" i="5" s="1"/>
  <c r="R200" i="5" s="1"/>
  <c r="V200" i="5" s="1"/>
  <c r="N46" i="5"/>
  <c r="P46" i="5" s="1"/>
  <c r="R46" i="5" s="1"/>
  <c r="V46" i="5" s="1"/>
  <c r="N38" i="5"/>
  <c r="P38" i="5" s="1"/>
  <c r="R38" i="5" s="1"/>
  <c r="V38" i="5" s="1"/>
  <c r="N48" i="5"/>
  <c r="P48" i="5" s="1"/>
  <c r="R48" i="5" s="1"/>
  <c r="V48" i="5" s="1"/>
  <c r="N42" i="5"/>
  <c r="P42" i="5" s="1"/>
  <c r="R42" i="5" s="1"/>
  <c r="V42" i="5" s="1"/>
  <c r="N224" i="5"/>
  <c r="P224" i="5" s="1"/>
  <c r="R224" i="5" s="1"/>
  <c r="V224" i="5" s="1"/>
  <c r="N213" i="5"/>
  <c r="P213" i="5" s="1"/>
  <c r="R213" i="5" s="1"/>
  <c r="V213" i="5" s="1"/>
  <c r="N111" i="5"/>
  <c r="P111" i="5" s="1"/>
  <c r="R111" i="5" s="1"/>
  <c r="V111" i="5" s="1"/>
  <c r="N141" i="5"/>
  <c r="P141" i="5" s="1"/>
  <c r="R141" i="5" s="1"/>
  <c r="V141" i="5" s="1"/>
  <c r="N62" i="5"/>
  <c r="P62" i="5" s="1"/>
  <c r="R62" i="5" s="1"/>
  <c r="V62" i="5" s="1"/>
  <c r="N30" i="5"/>
  <c r="P30" i="5" s="1"/>
  <c r="R30" i="5" s="1"/>
  <c r="V30" i="5" s="1"/>
  <c r="N234" i="5"/>
  <c r="P234" i="5" s="1"/>
  <c r="R234" i="5" s="1"/>
  <c r="V234" i="5" s="1"/>
  <c r="N163" i="5"/>
  <c r="P163" i="5" s="1"/>
  <c r="R163" i="5" s="1"/>
  <c r="V163" i="5" s="1"/>
  <c r="N201" i="5"/>
  <c r="P201" i="5" s="1"/>
  <c r="R201" i="5" s="1"/>
  <c r="V201" i="5" s="1"/>
  <c r="N43" i="5"/>
  <c r="P43" i="5" s="1"/>
  <c r="R43" i="5" s="1"/>
  <c r="V43" i="5" s="1"/>
  <c r="N145" i="5"/>
  <c r="P145" i="5" s="1"/>
  <c r="R145" i="5" s="1"/>
  <c r="V145" i="5" s="1"/>
  <c r="N194" i="5"/>
  <c r="P194" i="5" s="1"/>
  <c r="R194" i="5" s="1"/>
  <c r="V194" i="5" s="1"/>
  <c r="N209" i="5"/>
  <c r="P209" i="5" s="1"/>
  <c r="R209" i="5" s="1"/>
  <c r="V209" i="5" s="1"/>
  <c r="N82" i="5"/>
  <c r="P82" i="5" s="1"/>
  <c r="R82" i="5" s="1"/>
  <c r="V82" i="5" s="1"/>
  <c r="N52" i="5"/>
  <c r="P52" i="5" s="1"/>
  <c r="R52" i="5" s="1"/>
  <c r="V52" i="5" s="1"/>
  <c r="N71" i="5"/>
  <c r="P71" i="5" s="1"/>
  <c r="R71" i="5" s="1"/>
  <c r="V71" i="5" s="1"/>
  <c r="N96" i="5"/>
  <c r="P96" i="5" s="1"/>
  <c r="R96" i="5" s="1"/>
  <c r="V96" i="5" s="1"/>
  <c r="N131" i="5"/>
  <c r="P131" i="5" s="1"/>
  <c r="R131" i="5" s="1"/>
  <c r="V131" i="5" s="1"/>
  <c r="N148" i="5"/>
  <c r="P148" i="5" s="1"/>
  <c r="R148" i="5" s="1"/>
  <c r="V148" i="5" s="1"/>
  <c r="N26" i="5"/>
  <c r="P26" i="5" s="1"/>
  <c r="R26" i="5" s="1"/>
  <c r="V26" i="5" s="1"/>
  <c r="N118" i="5"/>
  <c r="P118" i="5" s="1"/>
  <c r="R118" i="5" s="1"/>
  <c r="V118" i="5" s="1"/>
  <c r="N195" i="5"/>
  <c r="P195" i="5" s="1"/>
  <c r="R195" i="5" s="1"/>
  <c r="V195" i="5" s="1"/>
  <c r="N124" i="5"/>
  <c r="P124" i="5" s="1"/>
  <c r="R124" i="5" s="1"/>
  <c r="V124" i="5" s="1"/>
  <c r="N143" i="5"/>
  <c r="P143" i="5" s="1"/>
  <c r="R143" i="5" s="1"/>
  <c r="V143" i="5" s="1"/>
  <c r="N135" i="5"/>
  <c r="P135" i="5" s="1"/>
  <c r="R135" i="5" s="1"/>
  <c r="V135" i="5" s="1"/>
  <c r="N176" i="5"/>
  <c r="P176" i="5" s="1"/>
  <c r="R176" i="5" s="1"/>
  <c r="V176" i="5" s="1"/>
  <c r="N184" i="5"/>
  <c r="P184" i="5" s="1"/>
  <c r="R184" i="5" s="1"/>
  <c r="V184" i="5" s="1"/>
  <c r="N132" i="5"/>
  <c r="P132" i="5" s="1"/>
  <c r="R132" i="5" s="1"/>
  <c r="V132" i="5" s="1"/>
  <c r="N152" i="5"/>
  <c r="P152" i="5" s="1"/>
  <c r="R152" i="5" s="1"/>
  <c r="V152" i="5" s="1"/>
  <c r="N210" i="5"/>
  <c r="P210" i="5" s="1"/>
  <c r="R210" i="5" s="1"/>
  <c r="V210" i="5" s="1"/>
  <c r="N165" i="5"/>
  <c r="P165" i="5" s="1"/>
  <c r="R165" i="5" s="1"/>
  <c r="V165" i="5" s="1"/>
  <c r="N238" i="5"/>
  <c r="P238" i="5" s="1"/>
  <c r="R238" i="5" s="1"/>
  <c r="V238" i="5" s="1"/>
  <c r="N233" i="5"/>
  <c r="P233" i="5" s="1"/>
  <c r="R233" i="5" s="1"/>
  <c r="V233" i="5" s="1"/>
  <c r="L264" i="7"/>
  <c r="K264" i="7" s="1"/>
  <c r="N128" i="5"/>
  <c r="M262" i="7"/>
  <c r="N169" i="5"/>
  <c r="P169" i="5" s="1"/>
  <c r="R169" i="5" s="1"/>
  <c r="V169" i="5" s="1"/>
  <c r="N24" i="5"/>
  <c r="P24" i="5" s="1"/>
  <c r="R24" i="5" s="1"/>
  <c r="V24" i="5" s="1"/>
  <c r="N32" i="5"/>
  <c r="P32" i="5" s="1"/>
  <c r="R32" i="5" s="1"/>
  <c r="V32" i="5" s="1"/>
  <c r="N134" i="5"/>
  <c r="P134" i="5" s="1"/>
  <c r="R134" i="5" s="1"/>
  <c r="V134" i="5" s="1"/>
  <c r="N67" i="5"/>
  <c r="P67" i="5" s="1"/>
  <c r="R67" i="5" s="1"/>
  <c r="V67" i="5" s="1"/>
  <c r="N34" i="5"/>
  <c r="P34" i="5" s="1"/>
  <c r="R34" i="5" s="1"/>
  <c r="V34" i="5" s="1"/>
  <c r="N126" i="5"/>
  <c r="P126" i="5" s="1"/>
  <c r="R126" i="5" s="1"/>
  <c r="V126" i="5" s="1"/>
  <c r="N151" i="5"/>
  <c r="P151" i="5" s="1"/>
  <c r="R151" i="5" s="1"/>
  <c r="V151" i="5" s="1"/>
  <c r="N33" i="5"/>
  <c r="P33" i="5" s="1"/>
  <c r="R33" i="5" s="1"/>
  <c r="V33" i="5" s="1"/>
  <c r="N95" i="5"/>
  <c r="P95" i="5" s="1"/>
  <c r="R95" i="5" s="1"/>
  <c r="V95" i="5" s="1"/>
  <c r="N51" i="5"/>
  <c r="P51" i="5" s="1"/>
  <c r="R51" i="5" s="1"/>
  <c r="V51" i="5" s="1"/>
  <c r="N7" i="5"/>
  <c r="P7" i="5" s="1"/>
  <c r="R7" i="5" s="1"/>
  <c r="V7" i="5" s="1"/>
  <c r="N123" i="5"/>
  <c r="P123" i="5" s="1"/>
  <c r="R123" i="5" s="1"/>
  <c r="V123" i="5" s="1"/>
  <c r="N37" i="5"/>
  <c r="P37" i="5" s="1"/>
  <c r="R37" i="5" s="1"/>
  <c r="V37" i="5" s="1"/>
  <c r="N76" i="5"/>
  <c r="P76" i="5" s="1"/>
  <c r="R76" i="5" s="1"/>
  <c r="V76" i="5" s="1"/>
  <c r="N49" i="5"/>
  <c r="P49" i="5" s="1"/>
  <c r="R49" i="5" s="1"/>
  <c r="V49" i="5" s="1"/>
  <c r="N187" i="5"/>
  <c r="P187" i="5" s="1"/>
  <c r="R187" i="5" s="1"/>
  <c r="V187" i="5" s="1"/>
  <c r="N199" i="5"/>
  <c r="P199" i="5" s="1"/>
  <c r="R199" i="5" s="1"/>
  <c r="V199" i="5" s="1"/>
  <c r="N27" i="5"/>
  <c r="P27" i="5" s="1"/>
  <c r="R27" i="5" s="1"/>
  <c r="V27" i="5" s="1"/>
  <c r="N56" i="5"/>
  <c r="P56" i="5" s="1"/>
  <c r="R56" i="5" s="1"/>
  <c r="V56" i="5" s="1"/>
  <c r="N205" i="5"/>
  <c r="P205" i="5" s="1"/>
  <c r="R205" i="5" s="1"/>
  <c r="V205" i="5" s="1"/>
  <c r="N170" i="5"/>
  <c r="P170" i="5" s="1"/>
  <c r="R170" i="5" s="1"/>
  <c r="V170" i="5" s="1"/>
  <c r="N177" i="5"/>
  <c r="P177" i="5" s="1"/>
  <c r="R177" i="5" s="1"/>
  <c r="V177" i="5" s="1"/>
  <c r="N15" i="5"/>
  <c r="P15" i="5" s="1"/>
  <c r="R15" i="5" s="1"/>
  <c r="V15" i="5" s="1"/>
  <c r="N91" i="5"/>
  <c r="P91" i="5" s="1"/>
  <c r="R91" i="5" s="1"/>
  <c r="V91" i="5" s="1"/>
  <c r="N110" i="5"/>
  <c r="P110" i="5" s="1"/>
  <c r="R110" i="5" s="1"/>
  <c r="V110" i="5" s="1"/>
  <c r="N87" i="5"/>
  <c r="P87" i="5" s="1"/>
  <c r="R87" i="5" s="1"/>
  <c r="V87" i="5" s="1"/>
  <c r="N168" i="5"/>
  <c r="P168" i="5" s="1"/>
  <c r="R168" i="5" s="1"/>
  <c r="V168" i="5" s="1"/>
  <c r="N138" i="5"/>
  <c r="P138" i="5" s="1"/>
  <c r="R138" i="5" s="1"/>
  <c r="V138" i="5" s="1"/>
  <c r="N142" i="5"/>
  <c r="P142" i="5" s="1"/>
  <c r="R142" i="5" s="1"/>
  <c r="V142" i="5" s="1"/>
  <c r="N207" i="5"/>
  <c r="P207" i="5" s="1"/>
  <c r="R207" i="5" s="1"/>
  <c r="V207" i="5" s="1"/>
  <c r="N259" i="5"/>
  <c r="P259" i="5" s="1"/>
  <c r="R259" i="5" s="1"/>
  <c r="V259" i="5" s="1"/>
  <c r="N226" i="5"/>
  <c r="P226" i="5" s="1"/>
  <c r="R226" i="5" s="1"/>
  <c r="V226" i="5" s="1"/>
  <c r="N164" i="5"/>
  <c r="P164" i="5" s="1"/>
  <c r="R164" i="5" s="1"/>
  <c r="V164" i="5" s="1"/>
  <c r="N35" i="5"/>
  <c r="P35" i="5" s="1"/>
  <c r="R35" i="5" s="1"/>
  <c r="V35" i="5" s="1"/>
  <c r="N173" i="5"/>
  <c r="P173" i="5" s="1"/>
  <c r="R173" i="5" s="1"/>
  <c r="V173" i="5" s="1"/>
  <c r="N229" i="5"/>
  <c r="P229" i="5" s="1"/>
  <c r="R229" i="5" s="1"/>
  <c r="V229" i="5" s="1"/>
  <c r="N181" i="5"/>
  <c r="P181" i="5" s="1"/>
  <c r="R181" i="5" s="1"/>
  <c r="V181" i="5" s="1"/>
  <c r="N258" i="5"/>
  <c r="P258" i="5" s="1"/>
  <c r="R258" i="5" s="1"/>
  <c r="V258" i="5" s="1"/>
  <c r="N17" i="5"/>
  <c r="P17" i="5" s="1"/>
  <c r="R17" i="5" s="1"/>
  <c r="V17" i="5" s="1"/>
  <c r="N225" i="5"/>
  <c r="P225" i="5" s="1"/>
  <c r="R225" i="5" s="1"/>
  <c r="V225" i="5" s="1"/>
  <c r="N223" i="5"/>
  <c r="P223" i="5" s="1"/>
  <c r="R223" i="5" s="1"/>
  <c r="V223" i="5" s="1"/>
  <c r="N215" i="5"/>
  <c r="P215" i="5" s="1"/>
  <c r="R215" i="5" s="1"/>
  <c r="V215" i="5" s="1"/>
  <c r="N9" i="5"/>
  <c r="P9" i="5" s="1"/>
  <c r="R9" i="5" s="1"/>
  <c r="V9" i="5" s="1"/>
  <c r="N155" i="5"/>
  <c r="P155" i="5" s="1"/>
  <c r="R155" i="5" s="1"/>
  <c r="V155" i="5" s="1"/>
  <c r="N103" i="5"/>
  <c r="P103" i="5" s="1"/>
  <c r="R103" i="5" s="1"/>
  <c r="V103" i="5" s="1"/>
  <c r="N72" i="5"/>
  <c r="P72" i="5" s="1"/>
  <c r="R72" i="5" s="1"/>
  <c r="V72" i="5" s="1"/>
  <c r="N61" i="5"/>
  <c r="P61" i="5" s="1"/>
  <c r="R61" i="5" s="1"/>
  <c r="V61" i="5" s="1"/>
  <c r="N127" i="5"/>
  <c r="P127" i="5" s="1"/>
  <c r="R127" i="5" s="1"/>
  <c r="V127" i="5" s="1"/>
  <c r="N79" i="5"/>
  <c r="P79" i="5" s="1"/>
  <c r="R79" i="5" s="1"/>
  <c r="V79" i="5" s="1"/>
  <c r="N193" i="5"/>
  <c r="P193" i="5" s="1"/>
  <c r="R193" i="5" s="1"/>
  <c r="V193" i="5" s="1"/>
  <c r="N18" i="5"/>
  <c r="P18" i="5" s="1"/>
  <c r="R18" i="5" s="1"/>
  <c r="V18" i="5" s="1"/>
  <c r="N81" i="5"/>
  <c r="P81" i="5" s="1"/>
  <c r="R81" i="5" s="1"/>
  <c r="V81" i="5" s="1"/>
  <c r="N20" i="5"/>
  <c r="P20" i="5" s="1"/>
  <c r="R20" i="5" s="1"/>
  <c r="V20" i="5" s="1"/>
  <c r="N119" i="5"/>
  <c r="P119" i="5" s="1"/>
  <c r="R119" i="5" s="1"/>
  <c r="V119" i="5" s="1"/>
  <c r="N235" i="5"/>
  <c r="P235" i="5" s="1"/>
  <c r="R235" i="5" s="1"/>
  <c r="V235" i="5" s="1"/>
  <c r="N146" i="5"/>
  <c r="P146" i="5" s="1"/>
  <c r="R146" i="5" s="1"/>
  <c r="V146" i="5" s="1"/>
  <c r="N232" i="5"/>
  <c r="P232" i="5" s="1"/>
  <c r="R232" i="5" s="1"/>
  <c r="V232" i="5" s="1"/>
  <c r="N190" i="5"/>
  <c r="P190" i="5" s="1"/>
  <c r="R190" i="5" s="1"/>
  <c r="V190" i="5" s="1"/>
  <c r="N66" i="5"/>
  <c r="P66" i="5" s="1"/>
  <c r="R66" i="5" s="1"/>
  <c r="V66" i="5" s="1"/>
  <c r="N154" i="5"/>
  <c r="P154" i="5" s="1"/>
  <c r="R154" i="5" s="1"/>
  <c r="V154" i="5" s="1"/>
  <c r="N68" i="5"/>
  <c r="P68" i="5" s="1"/>
  <c r="R68" i="5" s="1"/>
  <c r="V68" i="5" s="1"/>
  <c r="N53" i="5"/>
  <c r="P53" i="5" s="1"/>
  <c r="R53" i="5" s="1"/>
  <c r="V53" i="5" s="1"/>
  <c r="N189" i="5"/>
  <c r="P189" i="5" s="1"/>
  <c r="R189" i="5" s="1"/>
  <c r="V189" i="5" s="1"/>
  <c r="N83" i="5"/>
  <c r="P83" i="5" s="1"/>
  <c r="R83" i="5" s="1"/>
  <c r="V83" i="5" s="1"/>
  <c r="N160" i="5"/>
  <c r="P160" i="5" s="1"/>
  <c r="R160" i="5" s="1"/>
  <c r="V160" i="5" s="1"/>
  <c r="N158" i="5"/>
  <c r="P158" i="5" s="1"/>
  <c r="R158" i="5" s="1"/>
  <c r="V158" i="5" s="1"/>
  <c r="N157" i="5"/>
  <c r="P157" i="5" s="1"/>
  <c r="R157" i="5" s="1"/>
  <c r="V157" i="5" s="1"/>
  <c r="N241" i="5"/>
  <c r="P241" i="5" s="1"/>
  <c r="R241" i="5" s="1"/>
  <c r="V241" i="5" s="1"/>
  <c r="N261" i="5"/>
  <c r="P261" i="5" s="1"/>
  <c r="R261" i="5" s="1"/>
  <c r="V261" i="5" s="1"/>
  <c r="N239" i="5"/>
  <c r="P239" i="5" s="1"/>
  <c r="R239" i="5" s="1"/>
  <c r="V239" i="5" s="1"/>
  <c r="N125" i="5"/>
  <c r="P125" i="5" s="1"/>
  <c r="R125" i="5" s="1"/>
  <c r="V125" i="5" s="1"/>
  <c r="N100" i="5"/>
  <c r="P100" i="5" s="1"/>
  <c r="R100" i="5" s="1"/>
  <c r="V100" i="5" s="1"/>
  <c r="N246" i="5"/>
  <c r="P246" i="5" s="1"/>
  <c r="R246" i="5" s="1"/>
  <c r="V246" i="5" s="1"/>
  <c r="N104" i="5"/>
  <c r="P104" i="5" s="1"/>
  <c r="R104" i="5" s="1"/>
  <c r="V104" i="5" s="1"/>
  <c r="N247" i="5"/>
  <c r="P247" i="5" s="1"/>
  <c r="R247" i="5" s="1"/>
  <c r="V247" i="5" s="1"/>
  <c r="N256" i="5"/>
  <c r="P256" i="5" s="1"/>
  <c r="R256" i="5" s="1"/>
  <c r="V256" i="5" s="1"/>
  <c r="N208" i="5"/>
  <c r="P208" i="5" s="1"/>
  <c r="R208" i="5" s="1"/>
  <c r="V208" i="5" s="1"/>
  <c r="N19" i="5"/>
  <c r="P19" i="5" s="1"/>
  <c r="R19" i="5" s="1"/>
  <c r="V19" i="5" s="1"/>
  <c r="N63" i="5"/>
  <c r="P63" i="5" s="1"/>
  <c r="R63" i="5" s="1"/>
  <c r="V63" i="5" s="1"/>
  <c r="N114" i="5"/>
  <c r="P114" i="5" s="1"/>
  <c r="R114" i="5" s="1"/>
  <c r="V114" i="5" s="1"/>
  <c r="N248" i="5"/>
  <c r="P248" i="5" s="1"/>
  <c r="R248" i="5" s="1"/>
  <c r="V248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0" i="5"/>
  <c r="N206" i="5"/>
  <c r="P206" i="5" s="1"/>
  <c r="R206" i="5" s="1"/>
  <c r="V206" i="5" s="1"/>
  <c r="N220" i="5"/>
  <c r="P220" i="5" s="1"/>
  <c r="R220" i="5" s="1"/>
  <c r="V220" i="5" s="1"/>
  <c r="N84" i="5"/>
  <c r="P84" i="5" s="1"/>
  <c r="R84" i="5" s="1"/>
  <c r="V84" i="5" s="1"/>
  <c r="N70" i="5"/>
  <c r="P70" i="5" s="1"/>
  <c r="R70" i="5" s="1"/>
  <c r="V70" i="5" s="1"/>
  <c r="N175" i="5"/>
  <c r="P175" i="5" s="1"/>
  <c r="R175" i="5" s="1"/>
  <c r="V175" i="5" s="1"/>
  <c r="N98" i="5"/>
  <c r="P98" i="5" s="1"/>
  <c r="R98" i="5" s="1"/>
  <c r="V98" i="5" s="1"/>
  <c r="N217" i="5"/>
  <c r="P217" i="5" s="1"/>
  <c r="R217" i="5" s="1"/>
  <c r="V217" i="5" s="1"/>
  <c r="N31" i="5"/>
  <c r="P31" i="5" s="1"/>
  <c r="R31" i="5" s="1"/>
  <c r="V31" i="5" s="1"/>
  <c r="N41" i="5"/>
  <c r="P41" i="5" s="1"/>
  <c r="R41" i="5" s="1"/>
  <c r="V41" i="5" s="1"/>
  <c r="L262" i="5"/>
  <c r="L264" i="5" s="1"/>
  <c r="N245" i="5"/>
  <c r="P245" i="5" s="1"/>
  <c r="R245" i="5" s="1"/>
  <c r="V245" i="5" s="1"/>
  <c r="N180" i="5"/>
  <c r="P180" i="5" s="1"/>
  <c r="R180" i="5" s="1"/>
  <c r="V180" i="5" s="1"/>
  <c r="N109" i="5"/>
  <c r="P109" i="5" s="1"/>
  <c r="R109" i="5" s="1"/>
  <c r="V109" i="5" s="1"/>
  <c r="N101" i="5"/>
  <c r="P101" i="5" s="1"/>
  <c r="R101" i="5" s="1"/>
  <c r="V101" i="5" s="1"/>
  <c r="N166" i="5"/>
  <c r="P166" i="5" s="1"/>
  <c r="R166" i="5" s="1"/>
  <c r="V166" i="5" s="1"/>
  <c r="N57" i="5"/>
  <c r="P57" i="5" s="1"/>
  <c r="R57" i="5" s="1"/>
  <c r="V57" i="5" s="1"/>
  <c r="N59" i="5"/>
  <c r="P59" i="5" s="1"/>
  <c r="R59" i="5" s="1"/>
  <c r="V59" i="5" s="1"/>
  <c r="C264" i="1"/>
  <c r="D5" i="1"/>
  <c r="T262" i="3"/>
  <c r="T264" i="3" s="1"/>
  <c r="P264" i="7"/>
  <c r="P128" i="5" l="1"/>
  <c r="R128" i="5" s="1"/>
  <c r="V128" i="5" s="1"/>
  <c r="R233" i="7"/>
  <c r="R128" i="7"/>
  <c r="T233" i="5"/>
  <c r="N262" i="5"/>
  <c r="P262" i="5" s="1"/>
  <c r="P140" i="5"/>
  <c r="R140" i="5" s="1"/>
  <c r="T140" i="5" s="1"/>
  <c r="F264" i="1"/>
  <c r="T196" i="5"/>
  <c r="T186" i="5"/>
  <c r="T127" i="5"/>
  <c r="T156" i="5"/>
  <c r="T96" i="5"/>
  <c r="T230" i="5"/>
  <c r="T235" i="5"/>
  <c r="T244" i="5"/>
  <c r="T146" i="5"/>
  <c r="T163" i="5"/>
  <c r="T133" i="5"/>
  <c r="T136" i="5"/>
  <c r="T245" i="5"/>
  <c r="T246" i="5"/>
  <c r="T232" i="5"/>
  <c r="T120" i="5"/>
  <c r="T260" i="5"/>
  <c r="T152" i="5"/>
  <c r="T197" i="5"/>
  <c r="T130" i="5"/>
  <c r="T184" i="5"/>
  <c r="T11" i="5"/>
  <c r="T138" i="5"/>
  <c r="T203" i="5"/>
  <c r="T185" i="5"/>
  <c r="T159" i="5"/>
  <c r="T86" i="5"/>
  <c r="T124" i="5"/>
  <c r="T179" i="5"/>
  <c r="T125" i="5"/>
  <c r="T114" i="5"/>
  <c r="T90" i="5"/>
  <c r="T129" i="5"/>
  <c r="T206" i="5"/>
  <c r="T202" i="5"/>
  <c r="T21" i="5"/>
  <c r="T201" i="5"/>
  <c r="T221" i="5"/>
  <c r="T54" i="5"/>
  <c r="T224" i="5"/>
  <c r="T205" i="5"/>
  <c r="T51" i="5"/>
  <c r="T214" i="5"/>
  <c r="T253" i="5"/>
  <c r="T218" i="5"/>
  <c r="T165" i="5"/>
  <c r="T241" i="5"/>
  <c r="T212" i="5"/>
  <c r="T71" i="5"/>
  <c r="T160" i="5"/>
  <c r="T258" i="5"/>
  <c r="T8" i="5"/>
  <c r="T189" i="5"/>
  <c r="T77" i="5"/>
  <c r="T171" i="5"/>
  <c r="T187" i="5"/>
  <c r="T166" i="5"/>
  <c r="T61" i="5"/>
  <c r="T252" i="5"/>
  <c r="T242" i="5"/>
  <c r="T256" i="5"/>
  <c r="T168" i="5"/>
  <c r="T106" i="5"/>
  <c r="T85" i="5"/>
  <c r="T228" i="5"/>
  <c r="T178" i="5"/>
  <c r="T102" i="5"/>
  <c r="T229" i="5"/>
  <c r="T231" i="5"/>
  <c r="T50" i="5"/>
  <c r="T78" i="5"/>
  <c r="T180" i="5"/>
  <c r="T194" i="5"/>
  <c r="T177" i="5"/>
  <c r="T110" i="5"/>
  <c r="T115" i="5"/>
  <c r="T217" i="5"/>
  <c r="T162" i="5"/>
  <c r="T135" i="5"/>
  <c r="T107" i="5"/>
  <c r="T161" i="5"/>
  <c r="T104" i="5"/>
  <c r="T33" i="5"/>
  <c r="T93" i="5"/>
  <c r="T23" i="5"/>
  <c r="T204" i="5"/>
  <c r="T150" i="5"/>
  <c r="T63" i="5"/>
  <c r="T172" i="5"/>
  <c r="T225" i="5"/>
  <c r="T176" i="5"/>
  <c r="T226" i="5"/>
  <c r="T118" i="5"/>
  <c r="T17" i="5"/>
  <c r="T137" i="5"/>
  <c r="T227" i="5"/>
  <c r="T108" i="5"/>
  <c r="T240" i="5"/>
  <c r="T182" i="5"/>
  <c r="T62" i="5"/>
  <c r="T87" i="5"/>
  <c r="T254" i="5"/>
  <c r="T109" i="5"/>
  <c r="T100" i="5"/>
  <c r="T188" i="5"/>
  <c r="T192" i="5"/>
  <c r="T175" i="5"/>
  <c r="T151" i="5"/>
  <c r="T220" i="5"/>
  <c r="T57" i="5"/>
  <c r="T144" i="5"/>
  <c r="T111" i="5"/>
  <c r="T38" i="5"/>
  <c r="T239" i="5"/>
  <c r="T7" i="5"/>
  <c r="T15" i="5"/>
  <c r="T219" i="5"/>
  <c r="T12" i="5"/>
  <c r="T134" i="5"/>
  <c r="T249" i="5"/>
  <c r="T41" i="5"/>
  <c r="T117" i="5"/>
  <c r="T167" i="5"/>
  <c r="T105" i="5"/>
  <c r="T82" i="5"/>
  <c r="T92" i="5"/>
  <c r="T209" i="5"/>
  <c r="T195" i="5"/>
  <c r="T164" i="5"/>
  <c r="T46" i="5"/>
  <c r="T72" i="5"/>
  <c r="T42" i="5"/>
  <c r="T45" i="5"/>
  <c r="T200" i="5"/>
  <c r="T60" i="5"/>
  <c r="T70" i="5"/>
  <c r="T84" i="5"/>
  <c r="T113" i="5"/>
  <c r="T211" i="5"/>
  <c r="T76" i="5"/>
  <c r="T40" i="5"/>
  <c r="T18" i="5"/>
  <c r="T44" i="5"/>
  <c r="T234" i="5"/>
  <c r="T89" i="5"/>
  <c r="T19" i="5"/>
  <c r="T154" i="5"/>
  <c r="T190" i="5"/>
  <c r="T183" i="5"/>
  <c r="T157" i="5"/>
  <c r="T243" i="5"/>
  <c r="T39" i="5"/>
  <c r="T34" i="5"/>
  <c r="T251" i="5"/>
  <c r="T223" i="5"/>
  <c r="T181" i="5"/>
  <c r="T47" i="5"/>
  <c r="T193" i="5"/>
  <c r="D264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4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4" i="7"/>
  <c r="R228" i="7"/>
  <c r="R246" i="7"/>
  <c r="R240" i="7"/>
  <c r="R12" i="7"/>
  <c r="R84" i="7"/>
  <c r="R92" i="7"/>
  <c r="R208" i="7"/>
  <c r="R214" i="7"/>
  <c r="R157" i="7"/>
  <c r="R238" i="7"/>
  <c r="R158" i="7"/>
  <c r="R118" i="7"/>
  <c r="R182" i="7"/>
  <c r="R119" i="7"/>
  <c r="R183" i="7"/>
  <c r="R129" i="7"/>
  <c r="R162" i="7"/>
  <c r="R201" i="7"/>
  <c r="R156" i="7"/>
  <c r="R83" i="7"/>
  <c r="R9" i="7"/>
  <c r="R50" i="7"/>
  <c r="R204" i="7"/>
  <c r="R203" i="7"/>
  <c r="R95" i="7"/>
  <c r="R260" i="7"/>
  <c r="R120" i="7"/>
  <c r="R184" i="7"/>
  <c r="R121" i="7"/>
  <c r="R185" i="7"/>
  <c r="R147" i="7"/>
  <c r="R217" i="7"/>
  <c r="R148" i="7"/>
  <c r="R75" i="7"/>
  <c r="R101" i="7"/>
  <c r="R212" i="7"/>
  <c r="R211" i="7"/>
  <c r="R63" i="7"/>
  <c r="R91" i="7"/>
  <c r="R98" i="7"/>
  <c r="R106" i="7"/>
  <c r="R239" i="7"/>
  <c r="R116" i="7"/>
  <c r="R180" i="7"/>
  <c r="R117" i="7"/>
  <c r="R181" i="7"/>
  <c r="R143" i="7"/>
  <c r="R209" i="7"/>
  <c r="R127" i="7"/>
  <c r="R191" i="7"/>
  <c r="R192" i="7"/>
  <c r="R60" i="7"/>
  <c r="R232" i="7"/>
  <c r="R18" i="7"/>
  <c r="R206" i="7"/>
  <c r="R150" i="7"/>
  <c r="R174" i="7"/>
  <c r="R160" i="7"/>
  <c r="R231" i="7"/>
  <c r="R248" i="7"/>
  <c r="R90" i="7"/>
  <c r="R65" i="7"/>
  <c r="R251" i="7"/>
  <c r="R176" i="7"/>
  <c r="R177" i="7"/>
  <c r="R170" i="7"/>
  <c r="R7" i="7"/>
  <c r="R100" i="7"/>
  <c r="R68" i="7"/>
  <c r="R77" i="7"/>
  <c r="R257" i="7"/>
  <c r="R35" i="7"/>
  <c r="R141" i="7"/>
  <c r="R205" i="7"/>
  <c r="R142" i="7"/>
  <c r="R166" i="7"/>
  <c r="R258" i="7"/>
  <c r="R167" i="7"/>
  <c r="R113" i="7"/>
  <c r="R186" i="7"/>
  <c r="R123" i="7"/>
  <c r="R67" i="7"/>
  <c r="R102" i="7"/>
  <c r="R89" i="7"/>
  <c r="R253" i="7"/>
  <c r="R78" i="7"/>
  <c r="R252" i="7"/>
  <c r="R243" i="7"/>
  <c r="R168" i="7"/>
  <c r="R99" i="7"/>
  <c r="R169" i="7"/>
  <c r="R131" i="7"/>
  <c r="R194" i="7"/>
  <c r="R132" i="7"/>
  <c r="R195" i="7"/>
  <c r="R72" i="7"/>
  <c r="R76" i="7"/>
  <c r="R85" i="7"/>
  <c r="R30" i="7"/>
  <c r="R249" i="7"/>
  <c r="R215" i="7"/>
  <c r="R222" i="7"/>
  <c r="R164" i="7"/>
  <c r="R254" i="7"/>
  <c r="R165" i="7"/>
  <c r="R126" i="7"/>
  <c r="R190" i="7"/>
  <c r="R111" i="7"/>
  <c r="R175" i="7"/>
  <c r="R87" i="7"/>
  <c r="R74" i="7"/>
  <c r="R202" i="7"/>
  <c r="R145" i="7"/>
  <c r="R146" i="7"/>
  <c r="R13" i="7"/>
  <c r="R207" i="7"/>
  <c r="R124" i="7"/>
  <c r="R125" i="7"/>
  <c r="R151" i="7"/>
  <c r="R152" i="7"/>
  <c r="R244" i="7"/>
  <c r="R218" i="7"/>
  <c r="R155" i="7"/>
  <c r="R107" i="7"/>
  <c r="R88" i="7"/>
  <c r="R237" i="7"/>
  <c r="R34" i="7"/>
  <c r="R226" i="7"/>
  <c r="R229" i="7"/>
  <c r="R114" i="7"/>
  <c r="R115" i="7"/>
  <c r="R110" i="7"/>
  <c r="R256" i="7"/>
  <c r="R48" i="7"/>
  <c r="R227" i="7"/>
  <c r="R139" i="7"/>
  <c r="R86" i="7"/>
  <c r="R61" i="7"/>
  <c r="R241" i="7"/>
  <c r="R247" i="7"/>
  <c r="R188" i="7"/>
  <c r="R189" i="7"/>
  <c r="R225" i="7"/>
  <c r="R213" i="7"/>
  <c r="R187" i="7"/>
  <c r="R8" i="7"/>
  <c r="R80" i="7"/>
  <c r="R46" i="7"/>
  <c r="R236" i="7"/>
  <c r="R153" i="7"/>
  <c r="R154" i="7"/>
  <c r="R178" i="7"/>
  <c r="R179" i="7"/>
  <c r="R49" i="7"/>
  <c r="R69" i="7"/>
  <c r="R149" i="7"/>
  <c r="R223" i="7"/>
  <c r="R62" i="7"/>
  <c r="R112" i="7"/>
  <c r="R130" i="7"/>
  <c r="R71" i="7"/>
  <c r="R97" i="7"/>
  <c r="R103" i="7"/>
  <c r="R224" i="7"/>
  <c r="R230" i="7"/>
  <c r="R108" i="7"/>
  <c r="R172" i="7"/>
  <c r="R109" i="7"/>
  <c r="R173" i="7"/>
  <c r="R135" i="7"/>
  <c r="R197" i="7"/>
  <c r="R136" i="7"/>
  <c r="R198" i="7"/>
  <c r="R93" i="7"/>
  <c r="R66" i="7"/>
  <c r="R161" i="7"/>
  <c r="R193" i="7"/>
  <c r="R122" i="7"/>
  <c r="R234" i="7"/>
  <c r="R171" i="7"/>
  <c r="R96" i="7"/>
  <c r="R64" i="7"/>
  <c r="R73" i="7"/>
  <c r="R220" i="7"/>
  <c r="R219" i="7"/>
  <c r="R210" i="7"/>
  <c r="R137" i="7"/>
  <c r="R199" i="7"/>
  <c r="R138" i="7"/>
  <c r="R200" i="7"/>
  <c r="R250" i="7"/>
  <c r="R163" i="7"/>
  <c r="R105" i="7"/>
  <c r="R81" i="7"/>
  <c r="R245" i="7"/>
  <c r="R261" i="7"/>
  <c r="R235" i="7"/>
  <c r="R79" i="7"/>
  <c r="R104" i="7"/>
  <c r="R216" i="7"/>
  <c r="R82" i="7"/>
  <c r="R255" i="7"/>
  <c r="R133" i="7"/>
  <c r="R259" i="7"/>
  <c r="R134" i="7"/>
  <c r="R196" i="7"/>
  <c r="R159" i="7"/>
  <c r="R242" i="7"/>
  <c r="R144" i="7"/>
  <c r="R221" i="7"/>
  <c r="R70" i="7"/>
  <c r="R5" i="7"/>
  <c r="R140" i="7"/>
  <c r="T31" i="5"/>
  <c r="T238" i="5"/>
  <c r="T169" i="5"/>
  <c r="T143" i="5"/>
  <c r="T259" i="5"/>
  <c r="T261" i="5"/>
  <c r="T148" i="5"/>
  <c r="T37" i="5"/>
  <c r="T141" i="5"/>
  <c r="T81" i="5"/>
  <c r="T103" i="5"/>
  <c r="T155" i="5"/>
  <c r="T191" i="5"/>
  <c r="T73" i="5"/>
  <c r="T14" i="5"/>
  <c r="T131" i="5"/>
  <c r="T13" i="5"/>
  <c r="T53" i="5"/>
  <c r="T123" i="5"/>
  <c r="T199" i="5"/>
  <c r="T30" i="5"/>
  <c r="T66" i="5"/>
  <c r="T55" i="5"/>
  <c r="T9" i="5"/>
  <c r="T215" i="5"/>
  <c r="T158" i="5"/>
  <c r="T147" i="5"/>
  <c r="T119" i="5"/>
  <c r="T97" i="5"/>
  <c r="T250" i="5"/>
  <c r="T36" i="5"/>
  <c r="T69" i="5"/>
  <c r="T79" i="5"/>
  <c r="T101" i="5"/>
  <c r="T139" i="5"/>
  <c r="T198" i="5"/>
  <c r="T236" i="5"/>
  <c r="T25" i="5"/>
  <c r="T173" i="5"/>
  <c r="T75" i="5"/>
  <c r="T112" i="5"/>
  <c r="T88" i="5"/>
  <c r="T67" i="5"/>
  <c r="T22" i="5"/>
  <c r="T58" i="5"/>
  <c r="T32" i="5"/>
  <c r="T56" i="5"/>
  <c r="T10" i="5"/>
  <c r="T248" i="5"/>
  <c r="T210" i="5"/>
  <c r="T207" i="5"/>
  <c r="T213" i="5"/>
  <c r="T80" i="5"/>
  <c r="T145" i="5"/>
  <c r="T255" i="5"/>
  <c r="T216" i="5"/>
  <c r="T247" i="5"/>
  <c r="T132" i="5"/>
  <c r="T49" i="5"/>
  <c r="T237" i="5"/>
  <c r="T99" i="5"/>
  <c r="T52" i="5"/>
  <c r="T208" i="5"/>
  <c r="T222" i="5"/>
  <c r="T116" i="5"/>
  <c r="T83" i="5"/>
  <c r="V5" i="5"/>
  <c r="T5" i="5"/>
  <c r="T174" i="5"/>
  <c r="T27" i="5"/>
  <c r="T121" i="5"/>
  <c r="T95" i="5"/>
  <c r="T24" i="5"/>
  <c r="T64" i="5"/>
  <c r="T153" i="5"/>
  <c r="T65" i="5"/>
  <c r="T28" i="5"/>
  <c r="T68" i="5"/>
  <c r="T122" i="5"/>
  <c r="T98" i="5"/>
  <c r="T74" i="5"/>
  <c r="T48" i="5"/>
  <c r="T142" i="5"/>
  <c r="T26" i="5"/>
  <c r="T149" i="5"/>
  <c r="T126" i="5"/>
  <c r="T91" i="5"/>
  <c r="T94" i="5"/>
  <c r="T59" i="5"/>
  <c r="T29" i="5"/>
  <c r="T170" i="5"/>
  <c r="T257" i="5"/>
  <c r="T6" i="5"/>
  <c r="T43" i="5"/>
  <c r="T16" i="5"/>
  <c r="T35" i="5"/>
  <c r="T20" i="5"/>
  <c r="T233" i="7" l="1"/>
  <c r="V233" i="7" s="1"/>
  <c r="X233" i="7" s="1"/>
  <c r="AB233" i="7" s="1"/>
  <c r="H233" i="1"/>
  <c r="S233" i="1" s="1"/>
  <c r="T128" i="5"/>
  <c r="H128" i="1"/>
  <c r="T128" i="7"/>
  <c r="N264" i="5"/>
  <c r="R262" i="5"/>
  <c r="V262" i="5" s="1"/>
  <c r="V140" i="5"/>
  <c r="T262" i="5"/>
  <c r="H221" i="1"/>
  <c r="T221" i="7"/>
  <c r="H255" i="1"/>
  <c r="T255" i="7"/>
  <c r="H81" i="1"/>
  <c r="T81" i="7"/>
  <c r="H137" i="1"/>
  <c r="T137" i="7"/>
  <c r="H73" i="1"/>
  <c r="T73" i="7"/>
  <c r="T234" i="7"/>
  <c r="H234" i="1"/>
  <c r="H197" i="1"/>
  <c r="T197" i="7"/>
  <c r="H172" i="1"/>
  <c r="T172" i="7"/>
  <c r="H103" i="1"/>
  <c r="T103" i="7"/>
  <c r="H112" i="1"/>
  <c r="T112" i="7"/>
  <c r="H69" i="1"/>
  <c r="T69" i="7"/>
  <c r="H154" i="1"/>
  <c r="T154" i="7"/>
  <c r="H80" i="1"/>
  <c r="T80" i="7"/>
  <c r="T225" i="7"/>
  <c r="H225" i="1"/>
  <c r="H241" i="1"/>
  <c r="T241" i="7"/>
  <c r="H226" i="1"/>
  <c r="T226" i="7"/>
  <c r="H107" i="1"/>
  <c r="T107" i="7"/>
  <c r="H152" i="1"/>
  <c r="T152" i="7"/>
  <c r="H207" i="1"/>
  <c r="T207" i="7"/>
  <c r="H202" i="1"/>
  <c r="T202" i="7"/>
  <c r="H111" i="1"/>
  <c r="T111" i="7"/>
  <c r="H254" i="1"/>
  <c r="T254" i="7"/>
  <c r="H249" i="1"/>
  <c r="T249" i="7"/>
  <c r="H72" i="1"/>
  <c r="T72" i="7"/>
  <c r="H131" i="1"/>
  <c r="T131" i="7"/>
  <c r="H253" i="1"/>
  <c r="T253" i="7"/>
  <c r="H67" i="1"/>
  <c r="T67" i="7"/>
  <c r="H167" i="1"/>
  <c r="T167" i="7"/>
  <c r="H205" i="1"/>
  <c r="T205" i="7"/>
  <c r="H77" i="1"/>
  <c r="T77" i="7"/>
  <c r="H170" i="1"/>
  <c r="T170" i="7"/>
  <c r="H231" i="1"/>
  <c r="T231" i="7"/>
  <c r="H206" i="1"/>
  <c r="T206" i="7"/>
  <c r="H192" i="1"/>
  <c r="T192" i="7"/>
  <c r="H143" i="1"/>
  <c r="T143" i="7"/>
  <c r="H116" i="1"/>
  <c r="T116" i="7"/>
  <c r="H91" i="1"/>
  <c r="T91" i="7"/>
  <c r="H101" i="1"/>
  <c r="T101" i="7"/>
  <c r="H147" i="1"/>
  <c r="T147" i="7"/>
  <c r="H120" i="1"/>
  <c r="T120" i="7"/>
  <c r="H204" i="1"/>
  <c r="T204" i="7"/>
  <c r="H156" i="1"/>
  <c r="T156" i="7"/>
  <c r="H183" i="1"/>
  <c r="T183" i="7"/>
  <c r="H158" i="1"/>
  <c r="T158" i="7"/>
  <c r="H208" i="1"/>
  <c r="T208" i="7"/>
  <c r="H240" i="1"/>
  <c r="T240" i="7"/>
  <c r="H6" i="1"/>
  <c r="T6" i="7"/>
  <c r="H55" i="1"/>
  <c r="T55" i="7"/>
  <c r="H57" i="1"/>
  <c r="T57" i="7"/>
  <c r="H26" i="1"/>
  <c r="T26" i="7"/>
  <c r="H19" i="1"/>
  <c r="T19" i="7"/>
  <c r="H58" i="1"/>
  <c r="T58" i="7"/>
  <c r="H17" i="1"/>
  <c r="T17" i="7"/>
  <c r="H31" i="1"/>
  <c r="T31" i="7"/>
  <c r="H45" i="1"/>
  <c r="T45" i="7"/>
  <c r="H20" i="1"/>
  <c r="T20" i="7"/>
  <c r="H171" i="1"/>
  <c r="T171" i="7"/>
  <c r="T140" i="7"/>
  <c r="R262" i="7"/>
  <c r="R264" i="7" s="1"/>
  <c r="H144" i="1"/>
  <c r="T144" i="7"/>
  <c r="H134" i="1"/>
  <c r="T134" i="7"/>
  <c r="H82" i="1"/>
  <c r="T82" i="7"/>
  <c r="H235" i="1"/>
  <c r="T235" i="7"/>
  <c r="H105" i="1"/>
  <c r="T105" i="7"/>
  <c r="H200" i="1"/>
  <c r="T200" i="7"/>
  <c r="H210" i="1"/>
  <c r="T210" i="7"/>
  <c r="H64" i="1"/>
  <c r="T64" i="7"/>
  <c r="H122" i="1"/>
  <c r="T122" i="7"/>
  <c r="H93" i="1"/>
  <c r="T93" i="7"/>
  <c r="H135" i="1"/>
  <c r="T135" i="7"/>
  <c r="H108" i="1"/>
  <c r="T108" i="7"/>
  <c r="H97" i="1"/>
  <c r="T97" i="7"/>
  <c r="H62" i="1"/>
  <c r="T62" i="7"/>
  <c r="H49" i="1"/>
  <c r="T49" i="7"/>
  <c r="H153" i="1"/>
  <c r="T153" i="7"/>
  <c r="H8" i="1"/>
  <c r="T8" i="7"/>
  <c r="H189" i="1"/>
  <c r="T189" i="7"/>
  <c r="H61" i="1"/>
  <c r="T61" i="7"/>
  <c r="H48" i="1"/>
  <c r="T48" i="7"/>
  <c r="H115" i="1"/>
  <c r="T115" i="7"/>
  <c r="H34" i="1"/>
  <c r="T34" i="7"/>
  <c r="H155" i="1"/>
  <c r="T155" i="7"/>
  <c r="H151" i="1"/>
  <c r="T151" i="7"/>
  <c r="H13" i="1"/>
  <c r="T13" i="7"/>
  <c r="H74" i="1"/>
  <c r="T74" i="7"/>
  <c r="H190" i="1"/>
  <c r="T190" i="7"/>
  <c r="H164" i="1"/>
  <c r="T164" i="7"/>
  <c r="H30" i="1"/>
  <c r="T30" i="7"/>
  <c r="H195" i="1"/>
  <c r="T195" i="7"/>
  <c r="H169" i="1"/>
  <c r="T169" i="7"/>
  <c r="H243" i="1"/>
  <c r="T243" i="7"/>
  <c r="H89" i="1"/>
  <c r="T89" i="7"/>
  <c r="H123" i="1"/>
  <c r="T123" i="7"/>
  <c r="T258" i="7"/>
  <c r="H258" i="1"/>
  <c r="H141" i="1"/>
  <c r="T141" i="7"/>
  <c r="H68" i="1"/>
  <c r="T68" i="7"/>
  <c r="H177" i="1"/>
  <c r="T177" i="7"/>
  <c r="H65" i="1"/>
  <c r="T65" i="7"/>
  <c r="H160" i="1"/>
  <c r="T160" i="7"/>
  <c r="H18" i="1"/>
  <c r="T18" i="7"/>
  <c r="H191" i="1"/>
  <c r="T191" i="7"/>
  <c r="H181" i="1"/>
  <c r="T181" i="7"/>
  <c r="H239" i="1"/>
  <c r="T239" i="7"/>
  <c r="H63" i="1"/>
  <c r="T63" i="7"/>
  <c r="H75" i="1"/>
  <c r="T75" i="7"/>
  <c r="H185" i="1"/>
  <c r="T185" i="7"/>
  <c r="H260" i="1"/>
  <c r="T260" i="7"/>
  <c r="H50" i="1"/>
  <c r="T50" i="7"/>
  <c r="T201" i="7"/>
  <c r="H201" i="1"/>
  <c r="H119" i="1"/>
  <c r="T119" i="7"/>
  <c r="H238" i="1"/>
  <c r="T238" i="7"/>
  <c r="H92" i="1"/>
  <c r="T92" i="7"/>
  <c r="H246" i="1"/>
  <c r="T246" i="7"/>
  <c r="H21" i="1"/>
  <c r="T21" i="7"/>
  <c r="H16" i="1"/>
  <c r="T16" i="7"/>
  <c r="H56" i="1"/>
  <c r="T56" i="7"/>
  <c r="H42" i="1"/>
  <c r="T42" i="7"/>
  <c r="H27" i="1"/>
  <c r="T27" i="7"/>
  <c r="H54" i="1"/>
  <c r="T54" i="7"/>
  <c r="H23" i="1"/>
  <c r="T23" i="7"/>
  <c r="H37" i="1"/>
  <c r="T37" i="7"/>
  <c r="H38" i="1"/>
  <c r="T38" i="7"/>
  <c r="H14" i="1"/>
  <c r="T14" i="7"/>
  <c r="H196" i="1"/>
  <c r="T196" i="7"/>
  <c r="H79" i="1"/>
  <c r="T79" i="7"/>
  <c r="H66" i="1"/>
  <c r="T66" i="7"/>
  <c r="H227" i="1"/>
  <c r="T227" i="7"/>
  <c r="H70" i="1"/>
  <c r="T70" i="7"/>
  <c r="H133" i="1"/>
  <c r="T133" i="7"/>
  <c r="H104" i="1"/>
  <c r="T104" i="7"/>
  <c r="H245" i="1"/>
  <c r="T245" i="7"/>
  <c r="T250" i="7"/>
  <c r="H250" i="1"/>
  <c r="H199" i="1"/>
  <c r="T199" i="7"/>
  <c r="H220" i="1"/>
  <c r="T220" i="7"/>
  <c r="H161" i="1"/>
  <c r="T161" i="7"/>
  <c r="H136" i="1"/>
  <c r="T136" i="7"/>
  <c r="H109" i="1"/>
  <c r="T109" i="7"/>
  <c r="H224" i="1"/>
  <c r="T224" i="7"/>
  <c r="H149" i="1"/>
  <c r="T149" i="7"/>
  <c r="H178" i="1"/>
  <c r="T178" i="7"/>
  <c r="H46" i="1"/>
  <c r="T46" i="7"/>
  <c r="H213" i="1"/>
  <c r="T213" i="7"/>
  <c r="H247" i="1"/>
  <c r="T247" i="7"/>
  <c r="H139" i="1"/>
  <c r="T139" i="7"/>
  <c r="H110" i="1"/>
  <c r="T110" i="7"/>
  <c r="H229" i="1"/>
  <c r="T229" i="7"/>
  <c r="H88" i="1"/>
  <c r="T88" i="7"/>
  <c r="H244" i="1"/>
  <c r="T244" i="7"/>
  <c r="H124" i="1"/>
  <c r="T124" i="7"/>
  <c r="H145" i="1"/>
  <c r="T145" i="7"/>
  <c r="H175" i="1"/>
  <c r="T175" i="7"/>
  <c r="H165" i="1"/>
  <c r="T165" i="7"/>
  <c r="H215" i="1"/>
  <c r="T215" i="7"/>
  <c r="H76" i="1"/>
  <c r="T76" i="7"/>
  <c r="H194" i="1"/>
  <c r="T194" i="7"/>
  <c r="H168" i="1"/>
  <c r="T168" i="7"/>
  <c r="H78" i="1"/>
  <c r="T78" i="7"/>
  <c r="H113" i="1"/>
  <c r="T113" i="7"/>
  <c r="H142" i="1"/>
  <c r="T142" i="7"/>
  <c r="H257" i="1"/>
  <c r="T257" i="7"/>
  <c r="H7" i="1"/>
  <c r="T7" i="7"/>
  <c r="H251" i="1"/>
  <c r="T251" i="7"/>
  <c r="H248" i="1"/>
  <c r="T248" i="7"/>
  <c r="H150" i="1"/>
  <c r="T150" i="7"/>
  <c r="H60" i="1"/>
  <c r="T60" i="7"/>
  <c r="T209" i="7"/>
  <c r="H209" i="1"/>
  <c r="H180" i="1"/>
  <c r="T180" i="7"/>
  <c r="H98" i="1"/>
  <c r="T98" i="7"/>
  <c r="H212" i="1"/>
  <c r="T212" i="7"/>
  <c r="T217" i="7"/>
  <c r="H217" i="1"/>
  <c r="H184" i="1"/>
  <c r="T184" i="7"/>
  <c r="H203" i="1"/>
  <c r="T203" i="7"/>
  <c r="H83" i="1"/>
  <c r="T83" i="7"/>
  <c r="H129" i="1"/>
  <c r="D128" i="8" s="1"/>
  <c r="T129" i="7"/>
  <c r="H118" i="1"/>
  <c r="T118" i="7"/>
  <c r="H214" i="1"/>
  <c r="T214" i="7"/>
  <c r="H12" i="1"/>
  <c r="T12" i="7"/>
  <c r="H94" i="1"/>
  <c r="T94" i="7"/>
  <c r="H32" i="1"/>
  <c r="T32" i="7"/>
  <c r="H40" i="1"/>
  <c r="T40" i="7"/>
  <c r="H11" i="1"/>
  <c r="T11" i="7"/>
  <c r="H24" i="1"/>
  <c r="T24" i="7"/>
  <c r="H43" i="1"/>
  <c r="T43" i="7"/>
  <c r="H25" i="1"/>
  <c r="T25" i="7"/>
  <c r="H39" i="1"/>
  <c r="T39" i="7"/>
  <c r="H52" i="1"/>
  <c r="T52" i="7"/>
  <c r="H53" i="1"/>
  <c r="T53" i="7"/>
  <c r="H22" i="1"/>
  <c r="T22" i="7"/>
  <c r="H159" i="1"/>
  <c r="T159" i="7"/>
  <c r="H130" i="1"/>
  <c r="T130" i="7"/>
  <c r="E5" i="1"/>
  <c r="T5" i="7"/>
  <c r="T242" i="7"/>
  <c r="H242" i="1"/>
  <c r="H259" i="1"/>
  <c r="T259" i="7"/>
  <c r="H216" i="1"/>
  <c r="T216" i="7"/>
  <c r="H261" i="1"/>
  <c r="T261" i="7"/>
  <c r="H163" i="1"/>
  <c r="T163" i="7"/>
  <c r="H138" i="1"/>
  <c r="T138" i="7"/>
  <c r="H219" i="1"/>
  <c r="T219" i="7"/>
  <c r="H96" i="1"/>
  <c r="T96" i="7"/>
  <c r="H193" i="1"/>
  <c r="T193" i="7"/>
  <c r="H198" i="1"/>
  <c r="T198" i="7"/>
  <c r="H173" i="1"/>
  <c r="T173" i="7"/>
  <c r="H230" i="1"/>
  <c r="T230" i="7"/>
  <c r="H71" i="1"/>
  <c r="T71" i="7"/>
  <c r="H223" i="1"/>
  <c r="T223" i="7"/>
  <c r="H179" i="1"/>
  <c r="T179" i="7"/>
  <c r="H236" i="1"/>
  <c r="T236" i="7"/>
  <c r="H187" i="1"/>
  <c r="T187" i="7"/>
  <c r="H188" i="1"/>
  <c r="T188" i="7"/>
  <c r="H86" i="1"/>
  <c r="T86" i="7"/>
  <c r="H256" i="1"/>
  <c r="T256" i="7"/>
  <c r="H114" i="1"/>
  <c r="T114" i="7"/>
  <c r="H237" i="1"/>
  <c r="T237" i="7"/>
  <c r="H218" i="1"/>
  <c r="T218" i="7"/>
  <c r="H125" i="1"/>
  <c r="T125" i="7"/>
  <c r="H146" i="1"/>
  <c r="T146" i="7"/>
  <c r="H87" i="1"/>
  <c r="T87" i="7"/>
  <c r="H126" i="1"/>
  <c r="T126" i="7"/>
  <c r="H222" i="1"/>
  <c r="T222" i="7"/>
  <c r="H85" i="1"/>
  <c r="T85" i="7"/>
  <c r="H132" i="1"/>
  <c r="T132" i="7"/>
  <c r="H99" i="1"/>
  <c r="T99" i="7"/>
  <c r="H252" i="1"/>
  <c r="T252" i="7"/>
  <c r="H102" i="1"/>
  <c r="T102" i="7"/>
  <c r="H186" i="1"/>
  <c r="T186" i="7"/>
  <c r="H166" i="1"/>
  <c r="T166" i="7"/>
  <c r="H35" i="1"/>
  <c r="T35" i="7"/>
  <c r="H100" i="1"/>
  <c r="T100" i="7"/>
  <c r="H176" i="1"/>
  <c r="T176" i="7"/>
  <c r="H90" i="1"/>
  <c r="T90" i="7"/>
  <c r="H174" i="1"/>
  <c r="T174" i="7"/>
  <c r="H232" i="1"/>
  <c r="T232" i="7"/>
  <c r="H127" i="1"/>
  <c r="T127" i="7"/>
  <c r="H117" i="1"/>
  <c r="T117" i="7"/>
  <c r="H106" i="1"/>
  <c r="T106" i="7"/>
  <c r="H211" i="1"/>
  <c r="T211" i="7"/>
  <c r="H148" i="1"/>
  <c r="T148" i="7"/>
  <c r="H121" i="1"/>
  <c r="T121" i="7"/>
  <c r="H95" i="1"/>
  <c r="T95" i="7"/>
  <c r="H9" i="1"/>
  <c r="T9" i="7"/>
  <c r="H162" i="1"/>
  <c r="T162" i="7"/>
  <c r="H182" i="1"/>
  <c r="T182" i="7"/>
  <c r="H157" i="1"/>
  <c r="T157" i="7"/>
  <c r="H84" i="1"/>
  <c r="T84" i="7"/>
  <c r="H228" i="1"/>
  <c r="T228" i="7"/>
  <c r="H41" i="1"/>
  <c r="T41" i="7"/>
  <c r="H28" i="1"/>
  <c r="T28" i="7"/>
  <c r="H44" i="1"/>
  <c r="T44" i="7"/>
  <c r="H59" i="1"/>
  <c r="T59" i="7"/>
  <c r="H51" i="1"/>
  <c r="T51" i="7"/>
  <c r="H33" i="1"/>
  <c r="T33" i="7"/>
  <c r="H47" i="1"/>
  <c r="T47" i="7"/>
  <c r="H15" i="1"/>
  <c r="T15" i="7"/>
  <c r="H29" i="1"/>
  <c r="T29" i="7"/>
  <c r="H36" i="1"/>
  <c r="T36" i="7"/>
  <c r="H10" i="1"/>
  <c r="T10" i="7"/>
  <c r="Z233" i="7" l="1"/>
  <c r="D233" i="8"/>
  <c r="J233" i="1"/>
  <c r="P233" i="1" s="1"/>
  <c r="T264" i="5"/>
  <c r="V128" i="7"/>
  <c r="X128" i="7" s="1"/>
  <c r="AB128" i="7" s="1"/>
  <c r="S128" i="1"/>
  <c r="J128" i="1"/>
  <c r="F128" i="8" s="1"/>
  <c r="P264" i="5"/>
  <c r="R264" i="5"/>
  <c r="J36" i="1"/>
  <c r="D36" i="8"/>
  <c r="S36" i="1"/>
  <c r="J59" i="1"/>
  <c r="D59" i="8"/>
  <c r="S59" i="1"/>
  <c r="J228" i="1"/>
  <c r="D228" i="8"/>
  <c r="S228" i="1"/>
  <c r="J95" i="1"/>
  <c r="D95" i="8"/>
  <c r="S95" i="1"/>
  <c r="J127" i="1"/>
  <c r="D127" i="8"/>
  <c r="S127" i="1"/>
  <c r="J35" i="1"/>
  <c r="S35" i="1"/>
  <c r="D35" i="8"/>
  <c r="J87" i="1"/>
  <c r="D87" i="8"/>
  <c r="S87" i="1"/>
  <c r="J256" i="1"/>
  <c r="S256" i="1"/>
  <c r="D256" i="8"/>
  <c r="J223" i="1"/>
  <c r="S223" i="1"/>
  <c r="D223" i="8"/>
  <c r="J96" i="1"/>
  <c r="S96" i="1"/>
  <c r="D96" i="8"/>
  <c r="J259" i="1"/>
  <c r="D259" i="8"/>
  <c r="S259" i="1"/>
  <c r="V159" i="7"/>
  <c r="X159" i="7" s="1"/>
  <c r="AB159" i="7" s="1"/>
  <c r="V43" i="7"/>
  <c r="X43" i="7" s="1"/>
  <c r="AB43" i="7" s="1"/>
  <c r="V32" i="7"/>
  <c r="X32" i="7" s="1"/>
  <c r="AB32" i="7" s="1"/>
  <c r="V118" i="7"/>
  <c r="X118" i="7" s="1"/>
  <c r="AB118" i="7" s="1"/>
  <c r="V212" i="7"/>
  <c r="X212" i="7" s="1"/>
  <c r="AB212" i="7" s="1"/>
  <c r="V60" i="7"/>
  <c r="X60" i="7" s="1"/>
  <c r="AB60" i="7" s="1"/>
  <c r="V248" i="7"/>
  <c r="X248" i="7" s="1"/>
  <c r="AB248" i="7" s="1"/>
  <c r="V168" i="7"/>
  <c r="X168" i="7" s="1"/>
  <c r="AB168" i="7" s="1"/>
  <c r="V165" i="7"/>
  <c r="X165" i="7" s="1"/>
  <c r="AB165" i="7" s="1"/>
  <c r="V244" i="7"/>
  <c r="X244" i="7" s="1"/>
  <c r="AB244" i="7" s="1"/>
  <c r="V139" i="7"/>
  <c r="X139" i="7" s="1"/>
  <c r="AB139" i="7" s="1"/>
  <c r="V224" i="7"/>
  <c r="X224" i="7" s="1"/>
  <c r="AB224" i="7" s="1"/>
  <c r="V136" i="7"/>
  <c r="X136" i="7" s="1"/>
  <c r="AB136" i="7" s="1"/>
  <c r="V220" i="7"/>
  <c r="X220" i="7" s="1"/>
  <c r="AB220" i="7" s="1"/>
  <c r="V104" i="7"/>
  <c r="X104" i="7" s="1"/>
  <c r="AB104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46" i="7"/>
  <c r="X246" i="7" s="1"/>
  <c r="AB246" i="7" s="1"/>
  <c r="V238" i="7"/>
  <c r="X238" i="7" s="1"/>
  <c r="AB238" i="7" s="1"/>
  <c r="V75" i="7"/>
  <c r="X75" i="7" s="1"/>
  <c r="AB75" i="7" s="1"/>
  <c r="V191" i="7"/>
  <c r="X191" i="7" s="1"/>
  <c r="AB191" i="7" s="1"/>
  <c r="V177" i="7"/>
  <c r="X177" i="7" s="1"/>
  <c r="AB177" i="7" s="1"/>
  <c r="V123" i="7"/>
  <c r="X123" i="7" s="1"/>
  <c r="AB123" i="7" s="1"/>
  <c r="V195" i="7"/>
  <c r="X195" i="7" s="1"/>
  <c r="AB195" i="7" s="1"/>
  <c r="V74" i="7"/>
  <c r="X74" i="7" s="1"/>
  <c r="AB74" i="7" s="1"/>
  <c r="V34" i="7"/>
  <c r="X34" i="7" s="1"/>
  <c r="AB34" i="7" s="1"/>
  <c r="V189" i="7"/>
  <c r="X189" i="7" s="1"/>
  <c r="AB189" i="7" s="1"/>
  <c r="V62" i="7"/>
  <c r="X62" i="7" s="1"/>
  <c r="AB62" i="7" s="1"/>
  <c r="V93" i="7"/>
  <c r="X93" i="7" s="1"/>
  <c r="AB93" i="7" s="1"/>
  <c r="V64" i="7"/>
  <c r="X64" i="7" s="1"/>
  <c r="AB64" i="7" s="1"/>
  <c r="V235" i="7"/>
  <c r="X235" i="7" s="1"/>
  <c r="AB235" i="7" s="1"/>
  <c r="J26" i="1"/>
  <c r="S26" i="1"/>
  <c r="D26" i="8"/>
  <c r="J158" i="1"/>
  <c r="D158" i="8"/>
  <c r="S158" i="1"/>
  <c r="J120" i="1"/>
  <c r="S120" i="1"/>
  <c r="D120" i="8"/>
  <c r="J192" i="1"/>
  <c r="S192" i="1"/>
  <c r="D192" i="8"/>
  <c r="J205" i="1"/>
  <c r="D205" i="8"/>
  <c r="S205" i="1"/>
  <c r="J254" i="1"/>
  <c r="D254" i="8"/>
  <c r="S254" i="1"/>
  <c r="J226" i="1"/>
  <c r="D226" i="8"/>
  <c r="S226" i="1"/>
  <c r="J73" i="1"/>
  <c r="S73" i="1"/>
  <c r="D73" i="8"/>
  <c r="J130" i="1"/>
  <c r="D130" i="8"/>
  <c r="S130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4" i="1"/>
  <c r="D94" i="8"/>
  <c r="S94" i="1"/>
  <c r="J214" i="1"/>
  <c r="D214" i="8"/>
  <c r="S214" i="1"/>
  <c r="J129" i="1"/>
  <c r="D129" i="8"/>
  <c r="S129" i="1"/>
  <c r="J203" i="1"/>
  <c r="S203" i="1"/>
  <c r="D203" i="8"/>
  <c r="V217" i="7"/>
  <c r="X217" i="7" s="1"/>
  <c r="AB217" i="7" s="1"/>
  <c r="J98" i="1"/>
  <c r="D98" i="8"/>
  <c r="S98" i="1"/>
  <c r="V209" i="7"/>
  <c r="X209" i="7" s="1"/>
  <c r="AB209" i="7" s="1"/>
  <c r="J150" i="1"/>
  <c r="D150" i="8"/>
  <c r="S150" i="1"/>
  <c r="J251" i="1"/>
  <c r="D251" i="8"/>
  <c r="S251" i="1"/>
  <c r="J257" i="1"/>
  <c r="D257" i="8"/>
  <c r="S257" i="1"/>
  <c r="J113" i="1"/>
  <c r="S113" i="1"/>
  <c r="D113" i="8"/>
  <c r="J78" i="1"/>
  <c r="D78" i="8"/>
  <c r="S78" i="1"/>
  <c r="J194" i="1"/>
  <c r="S194" i="1"/>
  <c r="D194" i="8"/>
  <c r="J215" i="1"/>
  <c r="D215" i="8"/>
  <c r="S215" i="1"/>
  <c r="J175" i="1"/>
  <c r="D175" i="8"/>
  <c r="S175" i="1"/>
  <c r="J124" i="1"/>
  <c r="S124" i="1"/>
  <c r="D124" i="8"/>
  <c r="J88" i="1"/>
  <c r="D88" i="8"/>
  <c r="S88" i="1"/>
  <c r="J110" i="1"/>
  <c r="D110" i="8"/>
  <c r="S110" i="1"/>
  <c r="J247" i="1"/>
  <c r="D247" i="8"/>
  <c r="S247" i="1"/>
  <c r="J46" i="1"/>
  <c r="S46" i="1"/>
  <c r="D46" i="8"/>
  <c r="J149" i="1"/>
  <c r="D149" i="8"/>
  <c r="S149" i="1"/>
  <c r="J109" i="1"/>
  <c r="S109" i="1"/>
  <c r="D109" i="8"/>
  <c r="J161" i="1"/>
  <c r="D161" i="8"/>
  <c r="S161" i="1"/>
  <c r="J199" i="1"/>
  <c r="D199" i="8"/>
  <c r="S199" i="1"/>
  <c r="J245" i="1"/>
  <c r="D245" i="8"/>
  <c r="S245" i="1"/>
  <c r="J133" i="1"/>
  <c r="D133" i="8"/>
  <c r="S133" i="1"/>
  <c r="J227" i="1"/>
  <c r="D227" i="8"/>
  <c r="S227" i="1"/>
  <c r="J196" i="1"/>
  <c r="D196" i="8"/>
  <c r="S196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2" i="1"/>
  <c r="S92" i="1"/>
  <c r="D92" i="8"/>
  <c r="J119" i="1"/>
  <c r="D119" i="8"/>
  <c r="S119" i="1"/>
  <c r="J50" i="1"/>
  <c r="S50" i="1"/>
  <c r="D50" i="8"/>
  <c r="J185" i="1"/>
  <c r="D185" i="8"/>
  <c r="S185" i="1"/>
  <c r="J63" i="1"/>
  <c r="D63" i="8"/>
  <c r="S63" i="1"/>
  <c r="J181" i="1"/>
  <c r="D181" i="8"/>
  <c r="S181" i="1"/>
  <c r="J18" i="1"/>
  <c r="S18" i="1"/>
  <c r="D18" i="8"/>
  <c r="J65" i="1"/>
  <c r="D65" i="8"/>
  <c r="S65" i="1"/>
  <c r="J68" i="1"/>
  <c r="D68" i="8"/>
  <c r="S68" i="1"/>
  <c r="V258" i="7"/>
  <c r="X258" i="7" s="1"/>
  <c r="AB258" i="7" s="1"/>
  <c r="J89" i="1"/>
  <c r="D89" i="8"/>
  <c r="S89" i="1"/>
  <c r="J169" i="1"/>
  <c r="D169" i="8"/>
  <c r="S169" i="1"/>
  <c r="J30" i="1"/>
  <c r="S30" i="1"/>
  <c r="D30" i="8"/>
  <c r="J190" i="1"/>
  <c r="D190" i="8"/>
  <c r="S190" i="1"/>
  <c r="J13" i="1"/>
  <c r="D13" i="8"/>
  <c r="S13" i="1"/>
  <c r="J155" i="1"/>
  <c r="S155" i="1"/>
  <c r="D155" i="8"/>
  <c r="J115" i="1"/>
  <c r="D115" i="8"/>
  <c r="S115" i="1"/>
  <c r="J61" i="1"/>
  <c r="S61" i="1"/>
  <c r="D61" i="8"/>
  <c r="J8" i="1"/>
  <c r="D8" i="8"/>
  <c r="S8" i="1"/>
  <c r="J49" i="1"/>
  <c r="D49" i="8"/>
  <c r="S49" i="1"/>
  <c r="J97" i="1"/>
  <c r="D97" i="8"/>
  <c r="S97" i="1"/>
  <c r="J135" i="1"/>
  <c r="S135" i="1"/>
  <c r="D135" i="8"/>
  <c r="J122" i="1"/>
  <c r="D122" i="8"/>
  <c r="S122" i="1"/>
  <c r="J210" i="1"/>
  <c r="D210" i="8"/>
  <c r="S210" i="1"/>
  <c r="J105" i="1"/>
  <c r="S105" i="1"/>
  <c r="D105" i="8"/>
  <c r="J82" i="1"/>
  <c r="D82" i="8"/>
  <c r="S82" i="1"/>
  <c r="J144" i="1"/>
  <c r="D144" i="8"/>
  <c r="S144" i="1"/>
  <c r="V171" i="7"/>
  <c r="X171" i="7" s="1"/>
  <c r="AB171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0" i="7"/>
  <c r="X240" i="7" s="1"/>
  <c r="AB240" i="7" s="1"/>
  <c r="V158" i="7"/>
  <c r="X158" i="7" s="1"/>
  <c r="AB158" i="7" s="1"/>
  <c r="V156" i="7"/>
  <c r="X156" i="7" s="1"/>
  <c r="AB156" i="7" s="1"/>
  <c r="V120" i="7"/>
  <c r="X120" i="7" s="1"/>
  <c r="AB120" i="7" s="1"/>
  <c r="V101" i="7"/>
  <c r="X101" i="7" s="1"/>
  <c r="AB101" i="7" s="1"/>
  <c r="V116" i="7"/>
  <c r="X116" i="7" s="1"/>
  <c r="AB116" i="7" s="1"/>
  <c r="V192" i="7"/>
  <c r="X192" i="7" s="1"/>
  <c r="AB192" i="7" s="1"/>
  <c r="V231" i="7"/>
  <c r="X231" i="7" s="1"/>
  <c r="AB231" i="7" s="1"/>
  <c r="V170" i="7"/>
  <c r="X170" i="7" s="1"/>
  <c r="AB170" i="7" s="1"/>
  <c r="V205" i="7"/>
  <c r="X205" i="7" s="1"/>
  <c r="AB205" i="7" s="1"/>
  <c r="V67" i="7"/>
  <c r="X67" i="7" s="1"/>
  <c r="AB67" i="7" s="1"/>
  <c r="V72" i="7"/>
  <c r="X72" i="7" s="1"/>
  <c r="AB72" i="7" s="1"/>
  <c r="V254" i="7"/>
  <c r="X254" i="7" s="1"/>
  <c r="AB254" i="7" s="1"/>
  <c r="V202" i="7"/>
  <c r="X202" i="7" s="1"/>
  <c r="AB202" i="7" s="1"/>
  <c r="V152" i="7"/>
  <c r="X152" i="7" s="1"/>
  <c r="AB152" i="7" s="1"/>
  <c r="V226" i="7"/>
  <c r="X226" i="7" s="1"/>
  <c r="AB226" i="7" s="1"/>
  <c r="V241" i="7"/>
  <c r="X241" i="7" s="1"/>
  <c r="AB241" i="7" s="1"/>
  <c r="V80" i="7"/>
  <c r="X80" i="7" s="1"/>
  <c r="AB80" i="7" s="1"/>
  <c r="V69" i="7"/>
  <c r="X69" i="7" s="1"/>
  <c r="AB69" i="7" s="1"/>
  <c r="V103" i="7"/>
  <c r="X103" i="7" s="1"/>
  <c r="AB103" i="7" s="1"/>
  <c r="V197" i="7"/>
  <c r="X197" i="7" s="1"/>
  <c r="AB197" i="7" s="1"/>
  <c r="V73" i="7"/>
  <c r="X73" i="7" s="1"/>
  <c r="AB73" i="7" s="1"/>
  <c r="V81" i="7"/>
  <c r="X81" i="7" s="1"/>
  <c r="AB81" i="7" s="1"/>
  <c r="V221" i="7"/>
  <c r="X221" i="7" s="1"/>
  <c r="AB221" i="7" s="1"/>
  <c r="J15" i="1"/>
  <c r="D15" i="8"/>
  <c r="S15" i="1"/>
  <c r="J28" i="1"/>
  <c r="D28" i="8"/>
  <c r="S28" i="1"/>
  <c r="J162" i="1"/>
  <c r="D162" i="8"/>
  <c r="S162" i="1"/>
  <c r="J106" i="1"/>
  <c r="D106" i="8"/>
  <c r="S106" i="1"/>
  <c r="J176" i="1"/>
  <c r="D176" i="8"/>
  <c r="S176" i="1"/>
  <c r="J252" i="1"/>
  <c r="S252" i="1"/>
  <c r="D252" i="8"/>
  <c r="J132" i="1"/>
  <c r="D132" i="8"/>
  <c r="S132" i="1"/>
  <c r="J125" i="1"/>
  <c r="D125" i="8"/>
  <c r="S125" i="1"/>
  <c r="J188" i="1"/>
  <c r="D188" i="8"/>
  <c r="S188" i="1"/>
  <c r="J230" i="1"/>
  <c r="D230" i="8"/>
  <c r="S230" i="1"/>
  <c r="J261" i="1"/>
  <c r="D261" i="8"/>
  <c r="S261" i="1"/>
  <c r="V53" i="7"/>
  <c r="X53" i="7" s="1"/>
  <c r="AB53" i="7" s="1"/>
  <c r="V83" i="7"/>
  <c r="X83" i="7" s="1"/>
  <c r="AB83" i="7" s="1"/>
  <c r="V178" i="7"/>
  <c r="X178" i="7" s="1"/>
  <c r="AB178" i="7" s="1"/>
  <c r="J31" i="1"/>
  <c r="S31" i="1"/>
  <c r="D31" i="8"/>
  <c r="J55" i="1"/>
  <c r="D55" i="8"/>
  <c r="S55" i="1"/>
  <c r="J156" i="1"/>
  <c r="D156" i="8"/>
  <c r="S156" i="1"/>
  <c r="J116" i="1"/>
  <c r="D116" i="8"/>
  <c r="S116" i="1"/>
  <c r="J170" i="1"/>
  <c r="S170" i="1"/>
  <c r="D170" i="8"/>
  <c r="J202" i="1"/>
  <c r="D202" i="8"/>
  <c r="S202" i="1"/>
  <c r="J241" i="1"/>
  <c r="D241" i="8"/>
  <c r="S241" i="1"/>
  <c r="J80" i="1"/>
  <c r="D80" i="8"/>
  <c r="S80" i="1"/>
  <c r="J69" i="1"/>
  <c r="D69" i="8"/>
  <c r="S69" i="1"/>
  <c r="J103" i="1"/>
  <c r="S103" i="1"/>
  <c r="D103" i="8"/>
  <c r="J197" i="1"/>
  <c r="D197" i="8"/>
  <c r="S197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57" i="7"/>
  <c r="X157" i="7" s="1"/>
  <c r="AB157" i="7" s="1"/>
  <c r="V95" i="7"/>
  <c r="X95" i="7" s="1"/>
  <c r="AB95" i="7" s="1"/>
  <c r="V106" i="7"/>
  <c r="X106" i="7" s="1"/>
  <c r="AB106" i="7" s="1"/>
  <c r="V174" i="7"/>
  <c r="X174" i="7" s="1"/>
  <c r="AB174" i="7" s="1"/>
  <c r="V35" i="7"/>
  <c r="X35" i="7" s="1"/>
  <c r="AB35" i="7" s="1"/>
  <c r="V186" i="7"/>
  <c r="X186" i="7" s="1"/>
  <c r="AB186" i="7" s="1"/>
  <c r="V132" i="7"/>
  <c r="X132" i="7" s="1"/>
  <c r="AB132" i="7" s="1"/>
  <c r="V87" i="7"/>
  <c r="X87" i="7" s="1"/>
  <c r="AB87" i="7" s="1"/>
  <c r="V237" i="7"/>
  <c r="X237" i="7" s="1"/>
  <c r="AB237" i="7" s="1"/>
  <c r="V256" i="7"/>
  <c r="X256" i="7" s="1"/>
  <c r="AB256" i="7" s="1"/>
  <c r="V188" i="7"/>
  <c r="X188" i="7" s="1"/>
  <c r="AB188" i="7" s="1"/>
  <c r="V236" i="7"/>
  <c r="X236" i="7" s="1"/>
  <c r="AB236" i="7" s="1"/>
  <c r="V223" i="7"/>
  <c r="X223" i="7" s="1"/>
  <c r="AB223" i="7" s="1"/>
  <c r="V230" i="7"/>
  <c r="X230" i="7" s="1"/>
  <c r="AB230" i="7" s="1"/>
  <c r="V96" i="7"/>
  <c r="X96" i="7" s="1"/>
  <c r="AB96" i="7" s="1"/>
  <c r="V138" i="7"/>
  <c r="X138" i="7" s="1"/>
  <c r="AB138" i="7" s="1"/>
  <c r="V261" i="7"/>
  <c r="X261" i="7" s="1"/>
  <c r="AB261" i="7" s="1"/>
  <c r="V259" i="7"/>
  <c r="X259" i="7" s="1"/>
  <c r="AB259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2" i="1"/>
  <c r="D182" i="8"/>
  <c r="S182" i="1"/>
  <c r="J9" i="1"/>
  <c r="D9" i="8"/>
  <c r="S9" i="1"/>
  <c r="J121" i="1"/>
  <c r="D121" i="8"/>
  <c r="S121" i="1"/>
  <c r="J211" i="1"/>
  <c r="S211" i="1"/>
  <c r="D211" i="8"/>
  <c r="J117" i="1"/>
  <c r="S117" i="1"/>
  <c r="D117" i="8"/>
  <c r="J232" i="1"/>
  <c r="D232" i="8"/>
  <c r="S232" i="1"/>
  <c r="J90" i="1"/>
  <c r="D90" i="8"/>
  <c r="S90" i="1"/>
  <c r="J100" i="1"/>
  <c r="D100" i="8"/>
  <c r="S100" i="1"/>
  <c r="J166" i="1"/>
  <c r="D166" i="8"/>
  <c r="S166" i="1"/>
  <c r="J102" i="1"/>
  <c r="D102" i="8"/>
  <c r="S102" i="1"/>
  <c r="J99" i="1"/>
  <c r="D99" i="8"/>
  <c r="S99" i="1"/>
  <c r="J85" i="1"/>
  <c r="D85" i="8"/>
  <c r="S85" i="1"/>
  <c r="J126" i="1"/>
  <c r="D126" i="8"/>
  <c r="S126" i="1"/>
  <c r="J146" i="1"/>
  <c r="D146" i="8"/>
  <c r="S146" i="1"/>
  <c r="J218" i="1"/>
  <c r="D218" i="8"/>
  <c r="S218" i="1"/>
  <c r="J114" i="1"/>
  <c r="D114" i="8"/>
  <c r="S114" i="1"/>
  <c r="J86" i="1"/>
  <c r="D86" i="8"/>
  <c r="S86" i="1"/>
  <c r="J187" i="1"/>
  <c r="D187" i="8"/>
  <c r="S187" i="1"/>
  <c r="J179" i="1"/>
  <c r="D179" i="8"/>
  <c r="S179" i="1"/>
  <c r="J71" i="1"/>
  <c r="D71" i="8"/>
  <c r="S71" i="1"/>
  <c r="J173" i="1"/>
  <c r="D173" i="8"/>
  <c r="S173" i="1"/>
  <c r="J193" i="1"/>
  <c r="D193" i="8"/>
  <c r="S193" i="1"/>
  <c r="J219" i="1"/>
  <c r="D219" i="8"/>
  <c r="S219" i="1"/>
  <c r="J163" i="1"/>
  <c r="D163" i="8"/>
  <c r="S163" i="1"/>
  <c r="J216" i="1"/>
  <c r="D216" i="8"/>
  <c r="S216" i="1"/>
  <c r="V242" i="7"/>
  <c r="X242" i="7" s="1"/>
  <c r="AB242" i="7" s="1"/>
  <c r="V130" i="7"/>
  <c r="X130" i="7" s="1"/>
  <c r="AB130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4" i="7"/>
  <c r="X94" i="7" s="1"/>
  <c r="AB94" i="7" s="1"/>
  <c r="V214" i="7"/>
  <c r="X214" i="7" s="1"/>
  <c r="AB214" i="7" s="1"/>
  <c r="V129" i="7"/>
  <c r="X129" i="7" s="1"/>
  <c r="AB129" i="7" s="1"/>
  <c r="V203" i="7"/>
  <c r="X203" i="7" s="1"/>
  <c r="AB203" i="7" s="1"/>
  <c r="J217" i="1"/>
  <c r="S217" i="1"/>
  <c r="D217" i="8"/>
  <c r="V98" i="7"/>
  <c r="X98" i="7" s="1"/>
  <c r="AB98" i="7" s="1"/>
  <c r="J209" i="1"/>
  <c r="S209" i="1"/>
  <c r="D209" i="8"/>
  <c r="V150" i="7"/>
  <c r="X150" i="7" s="1"/>
  <c r="AB150" i="7" s="1"/>
  <c r="V251" i="7"/>
  <c r="X251" i="7" s="1"/>
  <c r="AB251" i="7" s="1"/>
  <c r="V257" i="7"/>
  <c r="X257" i="7" s="1"/>
  <c r="AB257" i="7" s="1"/>
  <c r="V113" i="7"/>
  <c r="X113" i="7" s="1"/>
  <c r="AB113" i="7" s="1"/>
  <c r="V78" i="7"/>
  <c r="X78" i="7" s="1"/>
  <c r="AB78" i="7" s="1"/>
  <c r="V194" i="7"/>
  <c r="X194" i="7" s="1"/>
  <c r="AB194" i="7" s="1"/>
  <c r="V215" i="7"/>
  <c r="X215" i="7" s="1"/>
  <c r="AB215" i="7" s="1"/>
  <c r="V175" i="7"/>
  <c r="X175" i="7" s="1"/>
  <c r="AB175" i="7" s="1"/>
  <c r="V124" i="7"/>
  <c r="X124" i="7" s="1"/>
  <c r="AB124" i="7" s="1"/>
  <c r="V88" i="7"/>
  <c r="X88" i="7" s="1"/>
  <c r="AB88" i="7" s="1"/>
  <c r="V110" i="7"/>
  <c r="X110" i="7" s="1"/>
  <c r="AB110" i="7" s="1"/>
  <c r="V247" i="7"/>
  <c r="X247" i="7" s="1"/>
  <c r="AB247" i="7" s="1"/>
  <c r="V46" i="7"/>
  <c r="X46" i="7" s="1"/>
  <c r="AB46" i="7" s="1"/>
  <c r="V149" i="7"/>
  <c r="X149" i="7" s="1"/>
  <c r="AB149" i="7" s="1"/>
  <c r="V109" i="7"/>
  <c r="X109" i="7" s="1"/>
  <c r="AB109" i="7" s="1"/>
  <c r="V161" i="7"/>
  <c r="X161" i="7" s="1"/>
  <c r="AB161" i="7" s="1"/>
  <c r="V199" i="7"/>
  <c r="X199" i="7" s="1"/>
  <c r="AB199" i="7" s="1"/>
  <c r="V245" i="7"/>
  <c r="X245" i="7" s="1"/>
  <c r="AB245" i="7" s="1"/>
  <c r="V133" i="7"/>
  <c r="X133" i="7" s="1"/>
  <c r="AB133" i="7" s="1"/>
  <c r="V227" i="7"/>
  <c r="X227" i="7" s="1"/>
  <c r="AB227" i="7" s="1"/>
  <c r="V196" i="7"/>
  <c r="X196" i="7" s="1"/>
  <c r="AB196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2" i="7"/>
  <c r="X92" i="7" s="1"/>
  <c r="AB92" i="7" s="1"/>
  <c r="V119" i="7"/>
  <c r="X119" i="7" s="1"/>
  <c r="AB119" i="7" s="1"/>
  <c r="V50" i="7"/>
  <c r="X50" i="7" s="1"/>
  <c r="AB50" i="7" s="1"/>
  <c r="V185" i="7"/>
  <c r="X185" i="7" s="1"/>
  <c r="AB185" i="7" s="1"/>
  <c r="V63" i="7"/>
  <c r="X63" i="7" s="1"/>
  <c r="AB63" i="7" s="1"/>
  <c r="V181" i="7"/>
  <c r="X181" i="7" s="1"/>
  <c r="AB181" i="7" s="1"/>
  <c r="V18" i="7"/>
  <c r="X18" i="7" s="1"/>
  <c r="AB18" i="7" s="1"/>
  <c r="V65" i="7"/>
  <c r="X65" i="7" s="1"/>
  <c r="AB65" i="7" s="1"/>
  <c r="V68" i="7"/>
  <c r="X68" i="7" s="1"/>
  <c r="AB68" i="7" s="1"/>
  <c r="J258" i="1"/>
  <c r="D258" i="8"/>
  <c r="S258" i="1"/>
  <c r="V89" i="7"/>
  <c r="X89" i="7" s="1"/>
  <c r="AB89" i="7" s="1"/>
  <c r="V169" i="7"/>
  <c r="X169" i="7" s="1"/>
  <c r="AB169" i="7" s="1"/>
  <c r="V30" i="7"/>
  <c r="X30" i="7" s="1"/>
  <c r="AB30" i="7" s="1"/>
  <c r="V190" i="7"/>
  <c r="X190" i="7" s="1"/>
  <c r="AB190" i="7" s="1"/>
  <c r="V13" i="7"/>
  <c r="X13" i="7" s="1"/>
  <c r="AB13" i="7" s="1"/>
  <c r="V155" i="7"/>
  <c r="X155" i="7" s="1"/>
  <c r="AB155" i="7" s="1"/>
  <c r="V115" i="7"/>
  <c r="X115" i="7" s="1"/>
  <c r="AB115" i="7" s="1"/>
  <c r="V61" i="7"/>
  <c r="X61" i="7" s="1"/>
  <c r="AB61" i="7" s="1"/>
  <c r="V8" i="7"/>
  <c r="X8" i="7" s="1"/>
  <c r="AB8" i="7" s="1"/>
  <c r="V49" i="7"/>
  <c r="X49" i="7" s="1"/>
  <c r="AB49" i="7" s="1"/>
  <c r="V97" i="7"/>
  <c r="X97" i="7" s="1"/>
  <c r="AB97" i="7" s="1"/>
  <c r="V135" i="7"/>
  <c r="X135" i="7" s="1"/>
  <c r="AB135" i="7" s="1"/>
  <c r="V122" i="7"/>
  <c r="X122" i="7" s="1"/>
  <c r="AB122" i="7" s="1"/>
  <c r="V210" i="7"/>
  <c r="X210" i="7" s="1"/>
  <c r="AB210" i="7" s="1"/>
  <c r="V105" i="7"/>
  <c r="X105" i="7" s="1"/>
  <c r="AB105" i="7" s="1"/>
  <c r="V82" i="7"/>
  <c r="X82" i="7" s="1"/>
  <c r="AB82" i="7" s="1"/>
  <c r="V144" i="7"/>
  <c r="X144" i="7" s="1"/>
  <c r="AB144" i="7" s="1"/>
  <c r="E264" i="1"/>
  <c r="H140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08" i="1"/>
  <c r="D208" i="8"/>
  <c r="S208" i="1"/>
  <c r="J183" i="1"/>
  <c r="D183" i="8"/>
  <c r="S183" i="1"/>
  <c r="J204" i="1"/>
  <c r="D204" i="8"/>
  <c r="S204" i="1"/>
  <c r="J147" i="1"/>
  <c r="S147" i="1"/>
  <c r="D147" i="8"/>
  <c r="J91" i="1"/>
  <c r="D91" i="8"/>
  <c r="S91" i="1"/>
  <c r="J143" i="1"/>
  <c r="S143" i="1"/>
  <c r="D143" i="8"/>
  <c r="J206" i="1"/>
  <c r="D206" i="8"/>
  <c r="S206" i="1"/>
  <c r="J77" i="1"/>
  <c r="S77" i="1"/>
  <c r="D77" i="8"/>
  <c r="J167" i="1"/>
  <c r="D167" i="8"/>
  <c r="S167" i="1"/>
  <c r="J253" i="1"/>
  <c r="D253" i="8"/>
  <c r="S253" i="1"/>
  <c r="J131" i="1"/>
  <c r="D131" i="8"/>
  <c r="S131" i="1"/>
  <c r="J249" i="1"/>
  <c r="D249" i="8"/>
  <c r="S249" i="1"/>
  <c r="J111" i="1"/>
  <c r="D111" i="8"/>
  <c r="S111" i="1"/>
  <c r="J207" i="1"/>
  <c r="D207" i="8"/>
  <c r="S207" i="1"/>
  <c r="J107" i="1"/>
  <c r="D107" i="8"/>
  <c r="S107" i="1"/>
  <c r="V225" i="7"/>
  <c r="X225" i="7" s="1"/>
  <c r="AB225" i="7" s="1"/>
  <c r="J154" i="1"/>
  <c r="D154" i="8"/>
  <c r="S154" i="1"/>
  <c r="J112" i="1"/>
  <c r="D112" i="8"/>
  <c r="S112" i="1"/>
  <c r="J172" i="1"/>
  <c r="D172" i="8"/>
  <c r="S172" i="1"/>
  <c r="V234" i="7"/>
  <c r="X234" i="7" s="1"/>
  <c r="AB234" i="7" s="1"/>
  <c r="J137" i="1"/>
  <c r="D137" i="8"/>
  <c r="S137" i="1"/>
  <c r="J255" i="1"/>
  <c r="D255" i="8"/>
  <c r="S255" i="1"/>
  <c r="J33" i="1"/>
  <c r="D33" i="8"/>
  <c r="S33" i="1"/>
  <c r="J157" i="1"/>
  <c r="D157" i="8"/>
  <c r="S157" i="1"/>
  <c r="J148" i="1"/>
  <c r="D148" i="8"/>
  <c r="S148" i="1"/>
  <c r="J174" i="1"/>
  <c r="D174" i="8"/>
  <c r="S174" i="1"/>
  <c r="J186" i="1"/>
  <c r="S186" i="1"/>
  <c r="D186" i="8"/>
  <c r="J222" i="1"/>
  <c r="D222" i="8"/>
  <c r="S222" i="1"/>
  <c r="J237" i="1"/>
  <c r="D237" i="8"/>
  <c r="S237" i="1"/>
  <c r="J236" i="1"/>
  <c r="S236" i="1"/>
  <c r="D236" i="8"/>
  <c r="J198" i="1"/>
  <c r="D198" i="8"/>
  <c r="S198" i="1"/>
  <c r="J138" i="1"/>
  <c r="D138" i="8"/>
  <c r="S138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4" i="7"/>
  <c r="X184" i="7" s="1"/>
  <c r="AB184" i="7" s="1"/>
  <c r="V180" i="7"/>
  <c r="X180" i="7" s="1"/>
  <c r="AB180" i="7" s="1"/>
  <c r="V7" i="7"/>
  <c r="X7" i="7" s="1"/>
  <c r="AB7" i="7" s="1"/>
  <c r="V142" i="7"/>
  <c r="X142" i="7" s="1"/>
  <c r="AB142" i="7" s="1"/>
  <c r="V76" i="7"/>
  <c r="X76" i="7" s="1"/>
  <c r="AB76" i="7" s="1"/>
  <c r="V145" i="7"/>
  <c r="X145" i="7" s="1"/>
  <c r="AB145" i="7" s="1"/>
  <c r="V229" i="7"/>
  <c r="X229" i="7" s="1"/>
  <c r="AB229" i="7" s="1"/>
  <c r="V213" i="7"/>
  <c r="X213" i="7" s="1"/>
  <c r="AB213" i="7" s="1"/>
  <c r="J250" i="1"/>
  <c r="D250" i="8"/>
  <c r="S250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1" i="1"/>
  <c r="S201" i="1"/>
  <c r="D201" i="8"/>
  <c r="V260" i="7"/>
  <c r="X260" i="7" s="1"/>
  <c r="AB260" i="7" s="1"/>
  <c r="V239" i="7"/>
  <c r="X239" i="7" s="1"/>
  <c r="AB239" i="7" s="1"/>
  <c r="V160" i="7"/>
  <c r="X160" i="7" s="1"/>
  <c r="AB160" i="7" s="1"/>
  <c r="V141" i="7"/>
  <c r="X141" i="7" s="1"/>
  <c r="AB141" i="7" s="1"/>
  <c r="V243" i="7"/>
  <c r="X243" i="7" s="1"/>
  <c r="AB243" i="7" s="1"/>
  <c r="V164" i="7"/>
  <c r="X164" i="7" s="1"/>
  <c r="AB164" i="7" s="1"/>
  <c r="V151" i="7"/>
  <c r="X151" i="7" s="1"/>
  <c r="AB151" i="7" s="1"/>
  <c r="V48" i="7"/>
  <c r="X48" i="7" s="1"/>
  <c r="AB48" i="7" s="1"/>
  <c r="V153" i="7"/>
  <c r="X153" i="7" s="1"/>
  <c r="AB153" i="7" s="1"/>
  <c r="V108" i="7"/>
  <c r="X108" i="7" s="1"/>
  <c r="AB108" i="7" s="1"/>
  <c r="V200" i="7"/>
  <c r="X200" i="7" s="1"/>
  <c r="AB200" i="7" s="1"/>
  <c r="V134" i="7"/>
  <c r="X134" i="7" s="1"/>
  <c r="AB134" i="7" s="1"/>
  <c r="J171" i="1"/>
  <c r="D171" i="8"/>
  <c r="S171" i="1"/>
  <c r="J58" i="1"/>
  <c r="D58" i="8"/>
  <c r="S58" i="1"/>
  <c r="J240" i="1"/>
  <c r="S240" i="1"/>
  <c r="D240" i="8"/>
  <c r="J101" i="1"/>
  <c r="D101" i="8"/>
  <c r="S101" i="1"/>
  <c r="J231" i="1"/>
  <c r="S231" i="1"/>
  <c r="D231" i="8"/>
  <c r="J67" i="1"/>
  <c r="D67" i="8"/>
  <c r="S67" i="1"/>
  <c r="J72" i="1"/>
  <c r="D72" i="8"/>
  <c r="S72" i="1"/>
  <c r="J152" i="1"/>
  <c r="D152" i="8"/>
  <c r="S152" i="1"/>
  <c r="J221" i="1"/>
  <c r="D221" i="8"/>
  <c r="S221" i="1"/>
  <c r="V15" i="7"/>
  <c r="X15" i="7" s="1"/>
  <c r="AB15" i="7" s="1"/>
  <c r="V59" i="7"/>
  <c r="X59" i="7" s="1"/>
  <c r="AB59" i="7" s="1"/>
  <c r="V228" i="7"/>
  <c r="X228" i="7" s="1"/>
  <c r="AB228" i="7" s="1"/>
  <c r="V162" i="7"/>
  <c r="X162" i="7" s="1"/>
  <c r="AB162" i="7" s="1"/>
  <c r="V148" i="7"/>
  <c r="X148" i="7" s="1"/>
  <c r="AB148" i="7" s="1"/>
  <c r="V127" i="7"/>
  <c r="X127" i="7" s="1"/>
  <c r="AB127" i="7" s="1"/>
  <c r="V176" i="7"/>
  <c r="X176" i="7" s="1"/>
  <c r="AB176" i="7" s="1"/>
  <c r="V252" i="7"/>
  <c r="X252" i="7" s="1"/>
  <c r="AB252" i="7" s="1"/>
  <c r="V222" i="7"/>
  <c r="X222" i="7" s="1"/>
  <c r="AB222" i="7" s="1"/>
  <c r="V125" i="7"/>
  <c r="X125" i="7" s="1"/>
  <c r="AB125" i="7" s="1"/>
  <c r="V198" i="7"/>
  <c r="X198" i="7" s="1"/>
  <c r="AB198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2" i="7"/>
  <c r="X182" i="7" s="1"/>
  <c r="AB182" i="7" s="1"/>
  <c r="V9" i="7"/>
  <c r="X9" i="7" s="1"/>
  <c r="AB9" i="7" s="1"/>
  <c r="V121" i="7"/>
  <c r="X121" i="7" s="1"/>
  <c r="AB121" i="7" s="1"/>
  <c r="V211" i="7"/>
  <c r="X211" i="7" s="1"/>
  <c r="AB211" i="7" s="1"/>
  <c r="V117" i="7"/>
  <c r="X117" i="7" s="1"/>
  <c r="AB117" i="7" s="1"/>
  <c r="V232" i="7"/>
  <c r="X232" i="7" s="1"/>
  <c r="AB232" i="7" s="1"/>
  <c r="V90" i="7"/>
  <c r="X90" i="7" s="1"/>
  <c r="AB90" i="7" s="1"/>
  <c r="V100" i="7"/>
  <c r="X100" i="7" s="1"/>
  <c r="AB100" i="7" s="1"/>
  <c r="V166" i="7"/>
  <c r="X166" i="7" s="1"/>
  <c r="AB166" i="7" s="1"/>
  <c r="V102" i="7"/>
  <c r="X102" i="7" s="1"/>
  <c r="AB102" i="7" s="1"/>
  <c r="V99" i="7"/>
  <c r="X99" i="7" s="1"/>
  <c r="AB99" i="7" s="1"/>
  <c r="V85" i="7"/>
  <c r="X85" i="7" s="1"/>
  <c r="AB85" i="7" s="1"/>
  <c r="V126" i="7"/>
  <c r="X126" i="7" s="1"/>
  <c r="AB126" i="7" s="1"/>
  <c r="V146" i="7"/>
  <c r="X146" i="7" s="1"/>
  <c r="AB146" i="7" s="1"/>
  <c r="V218" i="7"/>
  <c r="X218" i="7" s="1"/>
  <c r="AB218" i="7" s="1"/>
  <c r="V114" i="7"/>
  <c r="X114" i="7" s="1"/>
  <c r="AB114" i="7" s="1"/>
  <c r="V86" i="7"/>
  <c r="X86" i="7" s="1"/>
  <c r="AB86" i="7" s="1"/>
  <c r="V187" i="7"/>
  <c r="X187" i="7" s="1"/>
  <c r="AB187" i="7" s="1"/>
  <c r="V179" i="7"/>
  <c r="X179" i="7" s="1"/>
  <c r="AB179" i="7" s="1"/>
  <c r="V71" i="7"/>
  <c r="X71" i="7" s="1"/>
  <c r="AB71" i="7" s="1"/>
  <c r="V173" i="7"/>
  <c r="X173" i="7" s="1"/>
  <c r="AB173" i="7" s="1"/>
  <c r="V193" i="7"/>
  <c r="X193" i="7" s="1"/>
  <c r="AB193" i="7" s="1"/>
  <c r="V219" i="7"/>
  <c r="X219" i="7" s="1"/>
  <c r="AB219" i="7" s="1"/>
  <c r="V163" i="7"/>
  <c r="X163" i="7" s="1"/>
  <c r="AB163" i="7" s="1"/>
  <c r="V216" i="7"/>
  <c r="X216" i="7" s="1"/>
  <c r="AB216" i="7" s="1"/>
  <c r="J242" i="1"/>
  <c r="D242" i="8"/>
  <c r="S242" i="1"/>
  <c r="H5" i="1"/>
  <c r="J159" i="1"/>
  <c r="D159" i="8"/>
  <c r="S159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18" i="1"/>
  <c r="D118" i="8"/>
  <c r="S118" i="1"/>
  <c r="J83" i="1"/>
  <c r="D83" i="8"/>
  <c r="S83" i="1"/>
  <c r="J184" i="1"/>
  <c r="D184" i="8"/>
  <c r="S184" i="1"/>
  <c r="J212" i="1"/>
  <c r="D212" i="8"/>
  <c r="S212" i="1"/>
  <c r="J180" i="1"/>
  <c r="S180" i="1"/>
  <c r="D180" i="8"/>
  <c r="J60" i="1"/>
  <c r="D60" i="8"/>
  <c r="S60" i="1"/>
  <c r="J248" i="1"/>
  <c r="S248" i="1"/>
  <c r="D248" i="8"/>
  <c r="J7" i="1"/>
  <c r="D7" i="8"/>
  <c r="S7" i="1"/>
  <c r="J142" i="1"/>
  <c r="D142" i="8"/>
  <c r="S142" i="1"/>
  <c r="J168" i="1"/>
  <c r="S168" i="1"/>
  <c r="D168" i="8"/>
  <c r="J76" i="1"/>
  <c r="D76" i="8"/>
  <c r="S76" i="1"/>
  <c r="J165" i="1"/>
  <c r="D165" i="8"/>
  <c r="S165" i="1"/>
  <c r="J145" i="1"/>
  <c r="D145" i="8"/>
  <c r="S145" i="1"/>
  <c r="J244" i="1"/>
  <c r="S244" i="1"/>
  <c r="D244" i="8"/>
  <c r="J229" i="1"/>
  <c r="D229" i="8"/>
  <c r="S229" i="1"/>
  <c r="J139" i="1"/>
  <c r="S139" i="1"/>
  <c r="D139" i="8"/>
  <c r="J213" i="1"/>
  <c r="D213" i="8"/>
  <c r="S213" i="1"/>
  <c r="J178" i="1"/>
  <c r="S178" i="1"/>
  <c r="D178" i="8"/>
  <c r="J224" i="1"/>
  <c r="D224" i="8"/>
  <c r="S224" i="1"/>
  <c r="J136" i="1"/>
  <c r="D136" i="8"/>
  <c r="S136" i="1"/>
  <c r="J220" i="1"/>
  <c r="D220" i="8"/>
  <c r="S220" i="1"/>
  <c r="V250" i="7"/>
  <c r="X250" i="7" s="1"/>
  <c r="AB250" i="7" s="1"/>
  <c r="J104" i="1"/>
  <c r="D104" i="8"/>
  <c r="S104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46" i="1"/>
  <c r="D246" i="8"/>
  <c r="S246" i="1"/>
  <c r="J238" i="1"/>
  <c r="D238" i="8"/>
  <c r="S238" i="1"/>
  <c r="V201" i="7"/>
  <c r="X201" i="7" s="1"/>
  <c r="AB201" i="7" s="1"/>
  <c r="J260" i="1"/>
  <c r="D260" i="8"/>
  <c r="S260" i="1"/>
  <c r="J75" i="1"/>
  <c r="S75" i="1"/>
  <c r="D75" i="8"/>
  <c r="J239" i="1"/>
  <c r="D239" i="8"/>
  <c r="S239" i="1"/>
  <c r="J191" i="1"/>
  <c r="D191" i="8"/>
  <c r="S191" i="1"/>
  <c r="J160" i="1"/>
  <c r="D160" i="8"/>
  <c r="S160" i="1"/>
  <c r="J177" i="1"/>
  <c r="D177" i="8"/>
  <c r="S177" i="1"/>
  <c r="J141" i="1"/>
  <c r="D141" i="8"/>
  <c r="S141" i="1"/>
  <c r="J123" i="1"/>
  <c r="D123" i="8"/>
  <c r="S123" i="1"/>
  <c r="J243" i="1"/>
  <c r="D243" i="8"/>
  <c r="S243" i="1"/>
  <c r="J195" i="1"/>
  <c r="D195" i="8"/>
  <c r="S195" i="1"/>
  <c r="J164" i="1"/>
  <c r="D164" i="8"/>
  <c r="S164" i="1"/>
  <c r="J74" i="1"/>
  <c r="S74" i="1"/>
  <c r="D74" i="8"/>
  <c r="J151" i="1"/>
  <c r="D151" i="8"/>
  <c r="S151" i="1"/>
  <c r="J34" i="1"/>
  <c r="S34" i="1"/>
  <c r="D34" i="8"/>
  <c r="J48" i="1"/>
  <c r="D48" i="8"/>
  <c r="S48" i="1"/>
  <c r="J189" i="1"/>
  <c r="D189" i="8"/>
  <c r="S189" i="1"/>
  <c r="J153" i="1"/>
  <c r="S153" i="1"/>
  <c r="D153" i="8"/>
  <c r="J62" i="1"/>
  <c r="D62" i="8"/>
  <c r="S62" i="1"/>
  <c r="J108" i="1"/>
  <c r="D108" i="8"/>
  <c r="S108" i="1"/>
  <c r="J93" i="1"/>
  <c r="D93" i="8"/>
  <c r="S93" i="1"/>
  <c r="J64" i="1"/>
  <c r="S64" i="1"/>
  <c r="D64" i="8"/>
  <c r="J200" i="1"/>
  <c r="D200" i="8"/>
  <c r="S200" i="1"/>
  <c r="J235" i="1"/>
  <c r="D235" i="8"/>
  <c r="S235" i="1"/>
  <c r="J134" i="1"/>
  <c r="D134" i="8"/>
  <c r="S134" i="1"/>
  <c r="T262" i="7"/>
  <c r="T264" i="7" s="1"/>
  <c r="V140" i="7"/>
  <c r="X140" i="7" s="1"/>
  <c r="Z140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08" i="7"/>
  <c r="X208" i="7" s="1"/>
  <c r="AB208" i="7" s="1"/>
  <c r="V183" i="7"/>
  <c r="X183" i="7" s="1"/>
  <c r="AB183" i="7" s="1"/>
  <c r="V204" i="7"/>
  <c r="X204" i="7" s="1"/>
  <c r="AB204" i="7" s="1"/>
  <c r="V147" i="7"/>
  <c r="X147" i="7" s="1"/>
  <c r="AB147" i="7" s="1"/>
  <c r="V91" i="7"/>
  <c r="X91" i="7" s="1"/>
  <c r="AB91" i="7" s="1"/>
  <c r="V143" i="7"/>
  <c r="X143" i="7" s="1"/>
  <c r="AB143" i="7" s="1"/>
  <c r="V206" i="7"/>
  <c r="X206" i="7" s="1"/>
  <c r="AB206" i="7" s="1"/>
  <c r="V77" i="7"/>
  <c r="X77" i="7" s="1"/>
  <c r="AB77" i="7" s="1"/>
  <c r="V167" i="7"/>
  <c r="X167" i="7" s="1"/>
  <c r="AB167" i="7" s="1"/>
  <c r="V253" i="7"/>
  <c r="X253" i="7" s="1"/>
  <c r="AB253" i="7" s="1"/>
  <c r="V131" i="7"/>
  <c r="X131" i="7" s="1"/>
  <c r="AB131" i="7" s="1"/>
  <c r="V249" i="7"/>
  <c r="X249" i="7" s="1"/>
  <c r="AB249" i="7" s="1"/>
  <c r="V111" i="7"/>
  <c r="X111" i="7" s="1"/>
  <c r="AB111" i="7" s="1"/>
  <c r="V207" i="7"/>
  <c r="X207" i="7" s="1"/>
  <c r="AB207" i="7" s="1"/>
  <c r="V107" i="7"/>
  <c r="X107" i="7" s="1"/>
  <c r="AB107" i="7" s="1"/>
  <c r="J225" i="1"/>
  <c r="S225" i="1"/>
  <c r="D225" i="8"/>
  <c r="V154" i="7"/>
  <c r="X154" i="7" s="1"/>
  <c r="AB154" i="7" s="1"/>
  <c r="V112" i="7"/>
  <c r="X112" i="7" s="1"/>
  <c r="AB112" i="7" s="1"/>
  <c r="V172" i="7"/>
  <c r="X172" i="7" s="1"/>
  <c r="AB172" i="7" s="1"/>
  <c r="J234" i="1"/>
  <c r="D234" i="8"/>
  <c r="S234" i="1"/>
  <c r="V137" i="7"/>
  <c r="X137" i="7" s="1"/>
  <c r="AB137" i="7" s="1"/>
  <c r="V255" i="7"/>
  <c r="X255" i="7" s="1"/>
  <c r="AB255" i="7" s="1"/>
  <c r="F233" i="8" l="1"/>
  <c r="J233" i="8" s="1"/>
  <c r="J128" i="8"/>
  <c r="L233" i="1"/>
  <c r="L128" i="1"/>
  <c r="P128" i="1"/>
  <c r="Z128" i="7"/>
  <c r="V264" i="7"/>
  <c r="Z213" i="7"/>
  <c r="Z6" i="7"/>
  <c r="Z79" i="7"/>
  <c r="Z181" i="7"/>
  <c r="Z50" i="7"/>
  <c r="Z183" i="7"/>
  <c r="Z57" i="7"/>
  <c r="Z225" i="7"/>
  <c r="Z90" i="7"/>
  <c r="Z13" i="7"/>
  <c r="Z204" i="7"/>
  <c r="Z208" i="7"/>
  <c r="Z88" i="7"/>
  <c r="Z242" i="7"/>
  <c r="Z138" i="7"/>
  <c r="Z237" i="7"/>
  <c r="Z186" i="7"/>
  <c r="Z195" i="7"/>
  <c r="Z218" i="7"/>
  <c r="Z125" i="7"/>
  <c r="Z65" i="7"/>
  <c r="Z196" i="7"/>
  <c r="Z109" i="7"/>
  <c r="Z224" i="7"/>
  <c r="Z193" i="7"/>
  <c r="Z141" i="7"/>
  <c r="Z95" i="7"/>
  <c r="Z241" i="7"/>
  <c r="Z85" i="7"/>
  <c r="Z49" i="7"/>
  <c r="Z115" i="7"/>
  <c r="Z174" i="7"/>
  <c r="Z221" i="7"/>
  <c r="Z73" i="7"/>
  <c r="Z250" i="7"/>
  <c r="Z86" i="7"/>
  <c r="Z198" i="7"/>
  <c r="Z222" i="7"/>
  <c r="Z70" i="7"/>
  <c r="Z39" i="7"/>
  <c r="Z92" i="7"/>
  <c r="Z27" i="7"/>
  <c r="Z113" i="7"/>
  <c r="Z22" i="7"/>
  <c r="Z81" i="7"/>
  <c r="Z197" i="7"/>
  <c r="Z60" i="7"/>
  <c r="Z77" i="7"/>
  <c r="Z38" i="7"/>
  <c r="Z245" i="7"/>
  <c r="Z172" i="7"/>
  <c r="Z107" i="7"/>
  <c r="Z249" i="7"/>
  <c r="Z201" i="7"/>
  <c r="Z219" i="7"/>
  <c r="Z102" i="7"/>
  <c r="Z41" i="7"/>
  <c r="Z176" i="7"/>
  <c r="Z200" i="7"/>
  <c r="Z239" i="7"/>
  <c r="Z142" i="7"/>
  <c r="Z185" i="7"/>
  <c r="Z46" i="7"/>
  <c r="Z78" i="7"/>
  <c r="Z257" i="7"/>
  <c r="Z83" i="7"/>
  <c r="Z69" i="7"/>
  <c r="Z254" i="7"/>
  <c r="Z170" i="7"/>
  <c r="Z158" i="7"/>
  <c r="Z26" i="7"/>
  <c r="Z31" i="7"/>
  <c r="Z217" i="7"/>
  <c r="Z235" i="7"/>
  <c r="Z75" i="7"/>
  <c r="Z16" i="7"/>
  <c r="Z137" i="7"/>
  <c r="Z111" i="7"/>
  <c r="Z253" i="7"/>
  <c r="Z45" i="7"/>
  <c r="Z9" i="7"/>
  <c r="Z47" i="7"/>
  <c r="Z148" i="7"/>
  <c r="Z108" i="7"/>
  <c r="Z151" i="7"/>
  <c r="Z76" i="7"/>
  <c r="Z7" i="7"/>
  <c r="Z12" i="7"/>
  <c r="Z144" i="7"/>
  <c r="Z210" i="7"/>
  <c r="Z97" i="7"/>
  <c r="Z18" i="7"/>
  <c r="Z23" i="7"/>
  <c r="Z110" i="7"/>
  <c r="Z150" i="7"/>
  <c r="Z94" i="7"/>
  <c r="Z130" i="7"/>
  <c r="Z35" i="7"/>
  <c r="Z106" i="7"/>
  <c r="Z123" i="7"/>
  <c r="Z66" i="7"/>
  <c r="Z220" i="7"/>
  <c r="Z167" i="7"/>
  <c r="Z179" i="7"/>
  <c r="Z114" i="7"/>
  <c r="Z146" i="7"/>
  <c r="Z232" i="7"/>
  <c r="Z29" i="7"/>
  <c r="Z48" i="7"/>
  <c r="Z164" i="7"/>
  <c r="Z184" i="7"/>
  <c r="Z11" i="7"/>
  <c r="Z194" i="7"/>
  <c r="Z205" i="7"/>
  <c r="Z58" i="7"/>
  <c r="Z64" i="7"/>
  <c r="Z191" i="7"/>
  <c r="Z104" i="7"/>
  <c r="Z136" i="7"/>
  <c r="Z159" i="7"/>
  <c r="F64" i="8"/>
  <c r="L64" i="1"/>
  <c r="P64" i="1"/>
  <c r="F153" i="8"/>
  <c r="L153" i="1"/>
  <c r="P153" i="1"/>
  <c r="L151" i="1"/>
  <c r="F151" i="8"/>
  <c r="P151" i="1"/>
  <c r="F243" i="8"/>
  <c r="L243" i="1"/>
  <c r="P243" i="1"/>
  <c r="L160" i="1"/>
  <c r="P160" i="1"/>
  <c r="F160" i="8"/>
  <c r="P260" i="1"/>
  <c r="L260" i="1"/>
  <c r="F260" i="8"/>
  <c r="F246" i="8"/>
  <c r="P246" i="1"/>
  <c r="L246" i="1"/>
  <c r="L37" i="1"/>
  <c r="F37" i="8"/>
  <c r="P37" i="1"/>
  <c r="L70" i="1"/>
  <c r="F70" i="8"/>
  <c r="P70" i="1"/>
  <c r="P220" i="1"/>
  <c r="F220" i="8"/>
  <c r="L220" i="1"/>
  <c r="F213" i="8"/>
  <c r="P213" i="1"/>
  <c r="L213" i="1"/>
  <c r="F145" i="8"/>
  <c r="L145" i="1"/>
  <c r="P145" i="1"/>
  <c r="F60" i="8"/>
  <c r="L60" i="1"/>
  <c r="P60" i="1"/>
  <c r="P83" i="1"/>
  <c r="L83" i="1"/>
  <c r="F83" i="8"/>
  <c r="P11" i="1"/>
  <c r="F11" i="8"/>
  <c r="L11" i="1"/>
  <c r="F159" i="8"/>
  <c r="L159" i="1"/>
  <c r="P159" i="1"/>
  <c r="F72" i="8"/>
  <c r="P72" i="1"/>
  <c r="L72" i="1"/>
  <c r="L240" i="1"/>
  <c r="F240" i="8"/>
  <c r="P240" i="1"/>
  <c r="F250" i="8"/>
  <c r="P250" i="1"/>
  <c r="L250" i="1"/>
  <c r="F138" i="8"/>
  <c r="L138" i="1"/>
  <c r="P138" i="1"/>
  <c r="L222" i="1"/>
  <c r="F222" i="8"/>
  <c r="P222" i="1"/>
  <c r="P157" i="1"/>
  <c r="L157" i="1"/>
  <c r="F157" i="8"/>
  <c r="P154" i="1"/>
  <c r="F154" i="8"/>
  <c r="L154" i="1"/>
  <c r="L107" i="1"/>
  <c r="P107" i="1"/>
  <c r="F107" i="8"/>
  <c r="P131" i="1"/>
  <c r="L131" i="1"/>
  <c r="F131" i="8"/>
  <c r="P147" i="1"/>
  <c r="L147" i="1"/>
  <c r="F147" i="8"/>
  <c r="P6" i="1"/>
  <c r="L6" i="1"/>
  <c r="F6" i="8"/>
  <c r="F45" i="8"/>
  <c r="P45" i="1"/>
  <c r="L45" i="1"/>
  <c r="J140" i="1"/>
  <c r="H262" i="1"/>
  <c r="H264" i="1" s="1"/>
  <c r="D140" i="8"/>
  <c r="D262" i="8" s="1"/>
  <c r="S140" i="1"/>
  <c r="S262" i="1" s="1"/>
  <c r="P193" i="1"/>
  <c r="F193" i="8"/>
  <c r="L193" i="1"/>
  <c r="L187" i="1"/>
  <c r="F187" i="8"/>
  <c r="P187" i="1"/>
  <c r="P146" i="1"/>
  <c r="F146" i="8"/>
  <c r="L146" i="1"/>
  <c r="F102" i="8"/>
  <c r="P102" i="1"/>
  <c r="L102" i="1"/>
  <c r="F232" i="8"/>
  <c r="P232" i="1"/>
  <c r="L232" i="1"/>
  <c r="L9" i="1"/>
  <c r="P9" i="1"/>
  <c r="F9" i="8"/>
  <c r="F44" i="8"/>
  <c r="P44" i="1"/>
  <c r="L44" i="1"/>
  <c r="L10" i="1"/>
  <c r="F10" i="8"/>
  <c r="P10" i="1"/>
  <c r="F197" i="8"/>
  <c r="L197" i="1"/>
  <c r="P197" i="1"/>
  <c r="F241" i="8"/>
  <c r="P241" i="1"/>
  <c r="L241" i="1"/>
  <c r="F116" i="8"/>
  <c r="L116" i="1"/>
  <c r="P116" i="1"/>
  <c r="P188" i="1"/>
  <c r="F188" i="8"/>
  <c r="L188" i="1"/>
  <c r="L176" i="1"/>
  <c r="P176" i="1"/>
  <c r="F176" i="8"/>
  <c r="P15" i="1"/>
  <c r="F15" i="8"/>
  <c r="L15" i="1"/>
  <c r="L82" i="1"/>
  <c r="F82" i="8"/>
  <c r="P82" i="1"/>
  <c r="P135" i="1"/>
  <c r="L135" i="1"/>
  <c r="F135" i="8"/>
  <c r="L61" i="1"/>
  <c r="P61" i="1"/>
  <c r="F61" i="8"/>
  <c r="F190" i="8"/>
  <c r="L190" i="1"/>
  <c r="P190" i="1"/>
  <c r="F18" i="8"/>
  <c r="L18" i="1"/>
  <c r="P18" i="1"/>
  <c r="L50" i="1"/>
  <c r="F50" i="8"/>
  <c r="P50" i="1"/>
  <c r="L56" i="1"/>
  <c r="F56" i="8"/>
  <c r="P56" i="1"/>
  <c r="P196" i="1"/>
  <c r="F196" i="8"/>
  <c r="L196" i="1"/>
  <c r="F245" i="8"/>
  <c r="P245" i="1"/>
  <c r="L245" i="1"/>
  <c r="F149" i="8"/>
  <c r="P149" i="1"/>
  <c r="L149" i="1"/>
  <c r="F88" i="8"/>
  <c r="P88" i="1"/>
  <c r="L88" i="1"/>
  <c r="F194" i="8"/>
  <c r="P194" i="1"/>
  <c r="L194" i="1"/>
  <c r="L251" i="1"/>
  <c r="F251" i="8"/>
  <c r="P251" i="1"/>
  <c r="F98" i="8"/>
  <c r="L98" i="1"/>
  <c r="P98" i="1"/>
  <c r="F129" i="8"/>
  <c r="P129" i="1"/>
  <c r="L129" i="1"/>
  <c r="P24" i="1"/>
  <c r="F24" i="8"/>
  <c r="L24" i="1"/>
  <c r="F130" i="8"/>
  <c r="L130" i="1"/>
  <c r="P130" i="1"/>
  <c r="F205" i="8"/>
  <c r="P205" i="1"/>
  <c r="L205" i="1"/>
  <c r="F26" i="8"/>
  <c r="L26" i="1"/>
  <c r="P26" i="1"/>
  <c r="P223" i="1"/>
  <c r="F223" i="8"/>
  <c r="L223" i="1"/>
  <c r="P127" i="1"/>
  <c r="L127" i="1"/>
  <c r="F127" i="8"/>
  <c r="F36" i="8"/>
  <c r="P36" i="1"/>
  <c r="L36" i="1"/>
  <c r="Z162" i="7"/>
  <c r="Z82" i="7"/>
  <c r="Z135" i="7"/>
  <c r="Z61" i="7"/>
  <c r="Z155" i="7"/>
  <c r="Z190" i="7"/>
  <c r="Z169" i="7"/>
  <c r="Z68" i="7"/>
  <c r="Z63" i="7"/>
  <c r="Z56" i="7"/>
  <c r="Z227" i="7"/>
  <c r="Z161" i="7"/>
  <c r="Z149" i="7"/>
  <c r="Z247" i="7"/>
  <c r="Z175" i="7"/>
  <c r="Z251" i="7"/>
  <c r="Z203" i="7"/>
  <c r="Z214" i="7"/>
  <c r="Z40" i="7"/>
  <c r="Z25" i="7"/>
  <c r="Z261" i="7"/>
  <c r="Z96" i="7"/>
  <c r="Z223" i="7"/>
  <c r="Z188" i="7"/>
  <c r="Z132" i="7"/>
  <c r="Z157" i="7"/>
  <c r="Z33" i="7"/>
  <c r="Z152" i="7"/>
  <c r="Z231" i="7"/>
  <c r="Z116" i="7"/>
  <c r="Z120" i="7"/>
  <c r="Z55" i="7"/>
  <c r="Z209" i="7"/>
  <c r="Z93" i="7"/>
  <c r="Z189" i="7"/>
  <c r="Z74" i="7"/>
  <c r="Z238" i="7"/>
  <c r="Z14" i="7"/>
  <c r="Z139" i="7"/>
  <c r="Z165" i="7"/>
  <c r="Z118" i="7"/>
  <c r="Z43" i="7"/>
  <c r="V262" i="7"/>
  <c r="P134" i="1"/>
  <c r="F134" i="8"/>
  <c r="L134" i="1"/>
  <c r="L93" i="1"/>
  <c r="F93" i="8"/>
  <c r="P93" i="1"/>
  <c r="P189" i="1"/>
  <c r="F189" i="8"/>
  <c r="L189" i="1"/>
  <c r="L74" i="1"/>
  <c r="P74" i="1"/>
  <c r="F74" i="8"/>
  <c r="F123" i="8"/>
  <c r="P123" i="1"/>
  <c r="L123" i="1"/>
  <c r="L191" i="1"/>
  <c r="F191" i="8"/>
  <c r="P191" i="1"/>
  <c r="F16" i="8"/>
  <c r="P16" i="1"/>
  <c r="L16" i="1"/>
  <c r="L14" i="1"/>
  <c r="P14" i="1"/>
  <c r="F14" i="8"/>
  <c r="F104" i="8"/>
  <c r="P104" i="1"/>
  <c r="L104" i="1"/>
  <c r="L136" i="1"/>
  <c r="F136" i="8"/>
  <c r="P136" i="1"/>
  <c r="P139" i="1"/>
  <c r="L139" i="1"/>
  <c r="F139" i="8"/>
  <c r="P165" i="1"/>
  <c r="F165" i="8"/>
  <c r="L165" i="1"/>
  <c r="P142" i="1"/>
  <c r="F142" i="8"/>
  <c r="L142" i="1"/>
  <c r="P180" i="1"/>
  <c r="L180" i="1"/>
  <c r="F180" i="8"/>
  <c r="P118" i="1"/>
  <c r="F118" i="8"/>
  <c r="L118" i="1"/>
  <c r="F43" i="8"/>
  <c r="P43" i="1"/>
  <c r="L43" i="1"/>
  <c r="P67" i="1"/>
  <c r="F67" i="8"/>
  <c r="L67" i="1"/>
  <c r="P58" i="1"/>
  <c r="L58" i="1"/>
  <c r="F58" i="8"/>
  <c r="AB5" i="7"/>
  <c r="L198" i="1"/>
  <c r="F198" i="8"/>
  <c r="P198" i="1"/>
  <c r="F186" i="8"/>
  <c r="P186" i="1"/>
  <c r="L186" i="1"/>
  <c r="F33" i="8"/>
  <c r="P33" i="1"/>
  <c r="L33" i="1"/>
  <c r="P207" i="1"/>
  <c r="L207" i="1"/>
  <c r="F207" i="8"/>
  <c r="F253" i="8"/>
  <c r="P253" i="1"/>
  <c r="L253" i="1"/>
  <c r="L206" i="1"/>
  <c r="F206" i="8"/>
  <c r="P206" i="1"/>
  <c r="P204" i="1"/>
  <c r="F204" i="8"/>
  <c r="L204" i="1"/>
  <c r="L57" i="1"/>
  <c r="F57" i="8"/>
  <c r="P57" i="1"/>
  <c r="P20" i="1"/>
  <c r="L20" i="1"/>
  <c r="F20" i="8"/>
  <c r="P216" i="1"/>
  <c r="F216" i="8"/>
  <c r="L216" i="1"/>
  <c r="P173" i="1"/>
  <c r="F173" i="8"/>
  <c r="L173" i="1"/>
  <c r="P86" i="1"/>
  <c r="L86" i="1"/>
  <c r="F86" i="8"/>
  <c r="P126" i="1"/>
  <c r="F126" i="8"/>
  <c r="L126" i="1"/>
  <c r="F166" i="8"/>
  <c r="L166" i="1"/>
  <c r="P166" i="1"/>
  <c r="P117" i="1"/>
  <c r="F117" i="8"/>
  <c r="L117" i="1"/>
  <c r="F182" i="8"/>
  <c r="L182" i="1"/>
  <c r="P182" i="1"/>
  <c r="L51" i="1"/>
  <c r="F51" i="8"/>
  <c r="P51" i="1"/>
  <c r="L103" i="1"/>
  <c r="F103" i="8"/>
  <c r="P103" i="1"/>
  <c r="L202" i="1"/>
  <c r="F202" i="8"/>
  <c r="P202" i="1"/>
  <c r="L156" i="1"/>
  <c r="F156" i="8"/>
  <c r="P156" i="1"/>
  <c r="P125" i="1"/>
  <c r="L125" i="1"/>
  <c r="F125" i="8"/>
  <c r="P106" i="1"/>
  <c r="L106" i="1"/>
  <c r="F106" i="8"/>
  <c r="P105" i="1"/>
  <c r="F105" i="8"/>
  <c r="L105" i="1"/>
  <c r="F97" i="8"/>
  <c r="P97" i="1"/>
  <c r="L97" i="1"/>
  <c r="L115" i="1"/>
  <c r="F115" i="8"/>
  <c r="P115" i="1"/>
  <c r="L30" i="1"/>
  <c r="F30" i="8"/>
  <c r="P30" i="1"/>
  <c r="P181" i="1"/>
  <c r="F181" i="8"/>
  <c r="L181" i="1"/>
  <c r="L119" i="1"/>
  <c r="P119" i="1"/>
  <c r="F119" i="8"/>
  <c r="L27" i="1"/>
  <c r="F27" i="8"/>
  <c r="P27" i="1"/>
  <c r="P199" i="1"/>
  <c r="F199" i="8"/>
  <c r="L199" i="1"/>
  <c r="L46" i="1"/>
  <c r="F46" i="8"/>
  <c r="P46" i="1"/>
  <c r="F124" i="8"/>
  <c r="L124" i="1"/>
  <c r="P124" i="1"/>
  <c r="L78" i="1"/>
  <c r="P78" i="1"/>
  <c r="F78" i="8"/>
  <c r="F150" i="8"/>
  <c r="P150" i="1"/>
  <c r="L150" i="1"/>
  <c r="L214" i="1"/>
  <c r="F214" i="8"/>
  <c r="P214" i="1"/>
  <c r="F25" i="8"/>
  <c r="P25" i="1"/>
  <c r="L25" i="1"/>
  <c r="F73" i="8"/>
  <c r="L73" i="1"/>
  <c r="P73" i="1"/>
  <c r="L192" i="1"/>
  <c r="P192" i="1"/>
  <c r="F192" i="8"/>
  <c r="L256" i="1"/>
  <c r="F256" i="8"/>
  <c r="P256" i="1"/>
  <c r="P95" i="1"/>
  <c r="L95" i="1"/>
  <c r="F95" i="8"/>
  <c r="Z134" i="7"/>
  <c r="Z229" i="7"/>
  <c r="Z244" i="7"/>
  <c r="Z168" i="7"/>
  <c r="Z248" i="7"/>
  <c r="Z32" i="7"/>
  <c r="F234" i="8"/>
  <c r="P234" i="1"/>
  <c r="L234" i="1"/>
  <c r="AB140" i="7"/>
  <c r="X262" i="7"/>
  <c r="AB262" i="7" s="1"/>
  <c r="F235" i="8"/>
  <c r="P235" i="1"/>
  <c r="L235" i="1"/>
  <c r="F108" i="8"/>
  <c r="P108" i="1"/>
  <c r="L108" i="1"/>
  <c r="F48" i="8"/>
  <c r="P48" i="1"/>
  <c r="L48" i="1"/>
  <c r="L164" i="1"/>
  <c r="P164" i="1"/>
  <c r="F164" i="8"/>
  <c r="F141" i="8"/>
  <c r="P141" i="1"/>
  <c r="L141" i="1"/>
  <c r="L239" i="1"/>
  <c r="F239" i="8"/>
  <c r="P239" i="1"/>
  <c r="L42" i="1"/>
  <c r="F42" i="8"/>
  <c r="P42" i="1"/>
  <c r="P79" i="1"/>
  <c r="L79" i="1"/>
  <c r="F79" i="8"/>
  <c r="P224" i="1"/>
  <c r="F224" i="8"/>
  <c r="L224" i="1"/>
  <c r="F229" i="8"/>
  <c r="P229" i="1"/>
  <c r="L229" i="1"/>
  <c r="F76" i="8"/>
  <c r="P76" i="1"/>
  <c r="L76" i="1"/>
  <c r="F7" i="8"/>
  <c r="P7" i="1"/>
  <c r="L7" i="1"/>
  <c r="P212" i="1"/>
  <c r="F212" i="8"/>
  <c r="L212" i="1"/>
  <c r="F12" i="8"/>
  <c r="P12" i="1"/>
  <c r="L12" i="1"/>
  <c r="L39" i="1"/>
  <c r="F39" i="8"/>
  <c r="P39" i="1"/>
  <c r="F221" i="8"/>
  <c r="L221" i="1"/>
  <c r="P221" i="1"/>
  <c r="L231" i="1"/>
  <c r="F231" i="8"/>
  <c r="P231" i="1"/>
  <c r="L171" i="1"/>
  <c r="P171" i="1"/>
  <c r="F171" i="8"/>
  <c r="L236" i="1"/>
  <c r="F236" i="8"/>
  <c r="P236" i="1"/>
  <c r="F174" i="8"/>
  <c r="L174" i="1"/>
  <c r="P174" i="1"/>
  <c r="F255" i="8"/>
  <c r="L255" i="1"/>
  <c r="P255" i="1"/>
  <c r="P172" i="1"/>
  <c r="F172" i="8"/>
  <c r="L172" i="1"/>
  <c r="P111" i="1"/>
  <c r="L111" i="1"/>
  <c r="F111" i="8"/>
  <c r="L167" i="1"/>
  <c r="F167" i="8"/>
  <c r="P167" i="1"/>
  <c r="P143" i="1"/>
  <c r="F143" i="8"/>
  <c r="L143" i="1"/>
  <c r="L183" i="1"/>
  <c r="P183" i="1"/>
  <c r="F183" i="8"/>
  <c r="L19" i="1"/>
  <c r="P19" i="1"/>
  <c r="F19" i="8"/>
  <c r="F258" i="8"/>
  <c r="P258" i="1"/>
  <c r="L258" i="1"/>
  <c r="F217" i="8"/>
  <c r="L217" i="1"/>
  <c r="P217" i="1"/>
  <c r="L163" i="1"/>
  <c r="F163" i="8"/>
  <c r="P163" i="1"/>
  <c r="P71" i="1"/>
  <c r="F71" i="8"/>
  <c r="L71" i="1"/>
  <c r="P114" i="1"/>
  <c r="L114" i="1"/>
  <c r="F114" i="8"/>
  <c r="F85" i="8"/>
  <c r="P85" i="1"/>
  <c r="L85" i="1"/>
  <c r="P100" i="1"/>
  <c r="L100" i="1"/>
  <c r="F100" i="8"/>
  <c r="P211" i="1"/>
  <c r="F211" i="8"/>
  <c r="L211" i="1"/>
  <c r="F84" i="8"/>
  <c r="P84" i="1"/>
  <c r="L84" i="1"/>
  <c r="P47" i="1"/>
  <c r="L47" i="1"/>
  <c r="F47" i="8"/>
  <c r="F69" i="8"/>
  <c r="L69" i="1"/>
  <c r="P69" i="1"/>
  <c r="F55" i="8"/>
  <c r="P55" i="1"/>
  <c r="L55" i="1"/>
  <c r="L261" i="1"/>
  <c r="F261" i="8"/>
  <c r="P261" i="1"/>
  <c r="F132" i="8"/>
  <c r="L132" i="1"/>
  <c r="P132" i="1"/>
  <c r="P162" i="1"/>
  <c r="F162" i="8"/>
  <c r="L162" i="1"/>
  <c r="L210" i="1"/>
  <c r="P210" i="1"/>
  <c r="F210" i="8"/>
  <c r="F49" i="8"/>
  <c r="P49" i="1"/>
  <c r="L49" i="1"/>
  <c r="F155" i="8"/>
  <c r="P155" i="1"/>
  <c r="L155" i="1"/>
  <c r="P169" i="1"/>
  <c r="F169" i="8"/>
  <c r="L169" i="1"/>
  <c r="F68" i="8"/>
  <c r="P68" i="1"/>
  <c r="L68" i="1"/>
  <c r="F63" i="8"/>
  <c r="P63" i="1"/>
  <c r="L63" i="1"/>
  <c r="F92" i="8"/>
  <c r="P92" i="1"/>
  <c r="L92" i="1"/>
  <c r="L23" i="1"/>
  <c r="F23" i="8"/>
  <c r="P23" i="1"/>
  <c r="P227" i="1"/>
  <c r="L227" i="1"/>
  <c r="F227" i="8"/>
  <c r="P161" i="1"/>
  <c r="F161" i="8"/>
  <c r="L161" i="1"/>
  <c r="P247" i="1"/>
  <c r="L247" i="1"/>
  <c r="F247" i="8"/>
  <c r="L175" i="1"/>
  <c r="F175" i="8"/>
  <c r="P175" i="1"/>
  <c r="P113" i="1"/>
  <c r="L113" i="1"/>
  <c r="F113" i="8"/>
  <c r="L94" i="1"/>
  <c r="F94" i="8"/>
  <c r="P94" i="1"/>
  <c r="F52" i="8"/>
  <c r="P52" i="1"/>
  <c r="L52" i="1"/>
  <c r="L226" i="1"/>
  <c r="P226" i="1"/>
  <c r="F226" i="8"/>
  <c r="F120" i="8"/>
  <c r="L120" i="1"/>
  <c r="P120" i="1"/>
  <c r="P259" i="1"/>
  <c r="L259" i="1"/>
  <c r="F259" i="8"/>
  <c r="F87" i="8"/>
  <c r="L87" i="1"/>
  <c r="P87" i="1"/>
  <c r="P228" i="1"/>
  <c r="F228" i="8"/>
  <c r="L228" i="1"/>
  <c r="Z154" i="7"/>
  <c r="Z112" i="7"/>
  <c r="Z131" i="7"/>
  <c r="Z143" i="7"/>
  <c r="Z147" i="7"/>
  <c r="Z19" i="7"/>
  <c r="Z216" i="7"/>
  <c r="Z173" i="7"/>
  <c r="Z126" i="7"/>
  <c r="Z99" i="7"/>
  <c r="Z166" i="7"/>
  <c r="Z117" i="7"/>
  <c r="Z121" i="7"/>
  <c r="Z182" i="7"/>
  <c r="Z51" i="7"/>
  <c r="Z228" i="7"/>
  <c r="Z15" i="7"/>
  <c r="Z153" i="7"/>
  <c r="Z243" i="7"/>
  <c r="Z160" i="7"/>
  <c r="Z260" i="7"/>
  <c r="Z42" i="7"/>
  <c r="Z145" i="7"/>
  <c r="Z180" i="7"/>
  <c r="Z234" i="7"/>
  <c r="Z105" i="7"/>
  <c r="Z122" i="7"/>
  <c r="Z8" i="7"/>
  <c r="Z30" i="7"/>
  <c r="Z89" i="7"/>
  <c r="Z119" i="7"/>
  <c r="Z21" i="7"/>
  <c r="Z133" i="7"/>
  <c r="Z199" i="7"/>
  <c r="Z124" i="7"/>
  <c r="Z215" i="7"/>
  <c r="Z98" i="7"/>
  <c r="Z129" i="7"/>
  <c r="Z24" i="7"/>
  <c r="Z52" i="7"/>
  <c r="Z259" i="7"/>
  <c r="Z230" i="7"/>
  <c r="Z236" i="7"/>
  <c r="Z256" i="7"/>
  <c r="Z87" i="7"/>
  <c r="Z28" i="7"/>
  <c r="Z36" i="7"/>
  <c r="Z178" i="7"/>
  <c r="Z53" i="7"/>
  <c r="Z103" i="7"/>
  <c r="Z80" i="7"/>
  <c r="Z226" i="7"/>
  <c r="Z202" i="7"/>
  <c r="Z72" i="7"/>
  <c r="Z67" i="7"/>
  <c r="Z192" i="7"/>
  <c r="Z101" i="7"/>
  <c r="Z156" i="7"/>
  <c r="Z240" i="7"/>
  <c r="Z171" i="7"/>
  <c r="Z258" i="7"/>
  <c r="Z62" i="7"/>
  <c r="Z34" i="7"/>
  <c r="Z177" i="7"/>
  <c r="Z246" i="7"/>
  <c r="Z54" i="7"/>
  <c r="Z212" i="7"/>
  <c r="F225" i="8"/>
  <c r="P225" i="1"/>
  <c r="L225" i="1"/>
  <c r="P200" i="1"/>
  <c r="F200" i="8"/>
  <c r="L200" i="1"/>
  <c r="P62" i="1"/>
  <c r="L62" i="1"/>
  <c r="F62" i="8"/>
  <c r="L34" i="1"/>
  <c r="F34" i="8"/>
  <c r="P34" i="1"/>
  <c r="L195" i="1"/>
  <c r="P195" i="1"/>
  <c r="F195" i="8"/>
  <c r="P177" i="1"/>
  <c r="F177" i="8"/>
  <c r="L177" i="1"/>
  <c r="P75" i="1"/>
  <c r="F75" i="8"/>
  <c r="L75" i="1"/>
  <c r="F238" i="8"/>
  <c r="P238" i="1"/>
  <c r="L238" i="1"/>
  <c r="P54" i="1"/>
  <c r="F54" i="8"/>
  <c r="L54" i="1"/>
  <c r="P66" i="1"/>
  <c r="F66" i="8"/>
  <c r="L66" i="1"/>
  <c r="F178" i="8"/>
  <c r="P178" i="1"/>
  <c r="L178" i="1"/>
  <c r="L244" i="1"/>
  <c r="F244" i="8"/>
  <c r="P244" i="1"/>
  <c r="P168" i="1"/>
  <c r="L168" i="1"/>
  <c r="F168" i="8"/>
  <c r="L248" i="1"/>
  <c r="F248" i="8"/>
  <c r="P248" i="1"/>
  <c r="L184" i="1"/>
  <c r="P184" i="1"/>
  <c r="F184" i="8"/>
  <c r="F32" i="8"/>
  <c r="P32" i="1"/>
  <c r="L32" i="1"/>
  <c r="L53" i="1"/>
  <c r="F53" i="8"/>
  <c r="P53" i="1"/>
  <c r="J5" i="1"/>
  <c r="D5" i="8"/>
  <c r="S5" i="1"/>
  <c r="F242" i="8"/>
  <c r="P242" i="1"/>
  <c r="L242" i="1"/>
  <c r="L152" i="1"/>
  <c r="F152" i="8"/>
  <c r="P152" i="1"/>
  <c r="F101" i="8"/>
  <c r="L101" i="1"/>
  <c r="P101" i="1"/>
  <c r="F201" i="8"/>
  <c r="L201" i="1"/>
  <c r="P201" i="1"/>
  <c r="L237" i="1"/>
  <c r="F237" i="8"/>
  <c r="P237" i="1"/>
  <c r="L148" i="1"/>
  <c r="F148" i="8"/>
  <c r="P148" i="1"/>
  <c r="F137" i="8"/>
  <c r="L137" i="1"/>
  <c r="P137" i="1"/>
  <c r="F112" i="8"/>
  <c r="L112" i="1"/>
  <c r="P112" i="1"/>
  <c r="L249" i="1"/>
  <c r="F249" i="8"/>
  <c r="P249" i="1"/>
  <c r="F77" i="8"/>
  <c r="L77" i="1"/>
  <c r="P77" i="1"/>
  <c r="F91" i="8"/>
  <c r="P91" i="1"/>
  <c r="L91" i="1"/>
  <c r="P208" i="1"/>
  <c r="F208" i="8"/>
  <c r="L208" i="1"/>
  <c r="F17" i="8"/>
  <c r="P17" i="1"/>
  <c r="L17" i="1"/>
  <c r="F209" i="8"/>
  <c r="L209" i="1"/>
  <c r="P209" i="1"/>
  <c r="L219" i="1"/>
  <c r="P219" i="1"/>
  <c r="F219" i="8"/>
  <c r="L179" i="1"/>
  <c r="F179" i="8"/>
  <c r="P179" i="1"/>
  <c r="L218" i="1"/>
  <c r="P218" i="1"/>
  <c r="F218" i="8"/>
  <c r="F99" i="8"/>
  <c r="L99" i="1"/>
  <c r="P99" i="1"/>
  <c r="P90" i="1"/>
  <c r="L90" i="1"/>
  <c r="F90" i="8"/>
  <c r="J90" i="8" s="1"/>
  <c r="P121" i="1"/>
  <c r="L121" i="1"/>
  <c r="F121" i="8"/>
  <c r="F41" i="8"/>
  <c r="P41" i="1"/>
  <c r="L41" i="1"/>
  <c r="F29" i="8"/>
  <c r="P29" i="1"/>
  <c r="L29" i="1"/>
  <c r="F81" i="8"/>
  <c r="P81" i="1"/>
  <c r="L81" i="1"/>
  <c r="F80" i="8"/>
  <c r="P80" i="1"/>
  <c r="L80" i="1"/>
  <c r="F170" i="8"/>
  <c r="P170" i="1"/>
  <c r="L170" i="1"/>
  <c r="L31" i="1"/>
  <c r="F31" i="8"/>
  <c r="P31" i="1"/>
  <c r="L230" i="1"/>
  <c r="F230" i="8"/>
  <c r="P230" i="1"/>
  <c r="L252" i="1"/>
  <c r="F252" i="8"/>
  <c r="P252" i="1"/>
  <c r="P28" i="1"/>
  <c r="L28" i="1"/>
  <c r="F28" i="8"/>
  <c r="F144" i="8"/>
  <c r="L144" i="1"/>
  <c r="P144" i="1"/>
  <c r="P122" i="1"/>
  <c r="F122" i="8"/>
  <c r="L122" i="1"/>
  <c r="F8" i="8"/>
  <c r="P8" i="1"/>
  <c r="L8" i="1"/>
  <c r="L13" i="1"/>
  <c r="P13" i="1"/>
  <c r="F13" i="8"/>
  <c r="P89" i="1"/>
  <c r="L89" i="1"/>
  <c r="F89" i="8"/>
  <c r="F65" i="8"/>
  <c r="P65" i="1"/>
  <c r="L65" i="1"/>
  <c r="P185" i="1"/>
  <c r="F185" i="8"/>
  <c r="L185" i="1"/>
  <c r="F21" i="8"/>
  <c r="P21" i="1"/>
  <c r="L21" i="1"/>
  <c r="L38" i="1"/>
  <c r="F38" i="8"/>
  <c r="P38" i="1"/>
  <c r="F133" i="8"/>
  <c r="P133" i="1"/>
  <c r="L133" i="1"/>
  <c r="P109" i="1"/>
  <c r="L109" i="1"/>
  <c r="F109" i="8"/>
  <c r="P110" i="1"/>
  <c r="F110" i="8"/>
  <c r="L110" i="1"/>
  <c r="P215" i="1"/>
  <c r="L215" i="1"/>
  <c r="F215" i="8"/>
  <c r="L257" i="1"/>
  <c r="F257" i="8"/>
  <c r="P257" i="1"/>
  <c r="L203" i="1"/>
  <c r="P203" i="1"/>
  <c r="F203" i="8"/>
  <c r="F40" i="8"/>
  <c r="P40" i="1"/>
  <c r="L40" i="1"/>
  <c r="F22" i="8"/>
  <c r="L22" i="1"/>
  <c r="P22" i="1"/>
  <c r="F254" i="8"/>
  <c r="P254" i="1"/>
  <c r="L254" i="1"/>
  <c r="P158" i="1"/>
  <c r="F158" i="8"/>
  <c r="L158" i="1"/>
  <c r="P96" i="1"/>
  <c r="F96" i="8"/>
  <c r="L96" i="1"/>
  <c r="P35" i="1"/>
  <c r="F35" i="8"/>
  <c r="L35" i="1"/>
  <c r="F59" i="8"/>
  <c r="P59" i="1"/>
  <c r="L59" i="1"/>
  <c r="Z255" i="7"/>
  <c r="Z207" i="7"/>
  <c r="Z206" i="7"/>
  <c r="Z91" i="7"/>
  <c r="Z17" i="7"/>
  <c r="Z20" i="7"/>
  <c r="Z163" i="7"/>
  <c r="Z71" i="7"/>
  <c r="Z187" i="7"/>
  <c r="Z100" i="7"/>
  <c r="Z211" i="7"/>
  <c r="Z84" i="7"/>
  <c r="Z44" i="7"/>
  <c r="Z10" i="7"/>
  <c r="Z252" i="7"/>
  <c r="Z127" i="7"/>
  <c r="Z59" i="7"/>
  <c r="Z37" i="7"/>
  <c r="S264" i="1" l="1"/>
  <c r="J110" i="8"/>
  <c r="J89" i="8"/>
  <c r="J80" i="8"/>
  <c r="J249" i="8"/>
  <c r="J152" i="8"/>
  <c r="J75" i="8"/>
  <c r="J49" i="8"/>
  <c r="J85" i="8"/>
  <c r="J163" i="8"/>
  <c r="J19" i="8"/>
  <c r="J172" i="8"/>
  <c r="J255" i="8"/>
  <c r="J239" i="8"/>
  <c r="J235" i="8"/>
  <c r="J256" i="8"/>
  <c r="J115" i="8"/>
  <c r="J106" i="8"/>
  <c r="J51" i="8"/>
  <c r="J198" i="8"/>
  <c r="J58" i="8"/>
  <c r="J43" i="8"/>
  <c r="J142" i="8"/>
  <c r="J130" i="8"/>
  <c r="J245" i="8"/>
  <c r="J50" i="8"/>
  <c r="J18" i="8"/>
  <c r="J61" i="8"/>
  <c r="J176" i="8"/>
  <c r="J188" i="8"/>
  <c r="J116" i="8"/>
  <c r="J10" i="8"/>
  <c r="J44" i="8"/>
  <c r="J157" i="8"/>
  <c r="J222" i="8"/>
  <c r="J138" i="8"/>
  <c r="J159" i="8"/>
  <c r="J83" i="8"/>
  <c r="J220" i="8"/>
  <c r="J64" i="8"/>
  <c r="J59" i="8"/>
  <c r="J158" i="8"/>
  <c r="J254" i="8"/>
  <c r="J133" i="8"/>
  <c r="J185" i="8"/>
  <c r="J65" i="8"/>
  <c r="J13" i="8"/>
  <c r="J28" i="8"/>
  <c r="J252" i="8"/>
  <c r="J81" i="8"/>
  <c r="J218" i="8"/>
  <c r="J179" i="8"/>
  <c r="J208" i="8"/>
  <c r="J91" i="8"/>
  <c r="J112" i="8"/>
  <c r="J237" i="8"/>
  <c r="J201" i="8"/>
  <c r="J184" i="8"/>
  <c r="J248" i="8"/>
  <c r="J66" i="8"/>
  <c r="J177" i="8"/>
  <c r="J62" i="8"/>
  <c r="J200" i="8"/>
  <c r="J225" i="8"/>
  <c r="J120" i="8"/>
  <c r="J94" i="8"/>
  <c r="J247" i="8"/>
  <c r="J161" i="8"/>
  <c r="J68" i="8"/>
  <c r="J261" i="8"/>
  <c r="J55" i="8"/>
  <c r="J84" i="8"/>
  <c r="J100" i="8"/>
  <c r="J258" i="8"/>
  <c r="J183" i="8"/>
  <c r="J143" i="8"/>
  <c r="J174" i="8"/>
  <c r="J171" i="8"/>
  <c r="J231" i="8"/>
  <c r="J221" i="8"/>
  <c r="J212" i="8"/>
  <c r="J7" i="8"/>
  <c r="J224" i="8"/>
  <c r="J214" i="8"/>
  <c r="J150" i="8"/>
  <c r="J46" i="8"/>
  <c r="J125" i="8"/>
  <c r="J156" i="8"/>
  <c r="J20" i="8"/>
  <c r="J57" i="8"/>
  <c r="J33" i="8"/>
  <c r="J165" i="8"/>
  <c r="J16" i="8"/>
  <c r="J251" i="8"/>
  <c r="J194" i="8"/>
  <c r="J190" i="8"/>
  <c r="J135" i="8"/>
  <c r="J82" i="8"/>
  <c r="J241" i="8"/>
  <c r="J146" i="8"/>
  <c r="J131" i="8"/>
  <c r="J250" i="8"/>
  <c r="J145" i="8"/>
  <c r="J70" i="8"/>
  <c r="J260" i="8"/>
  <c r="J243" i="8"/>
  <c r="J96" i="8"/>
  <c r="J215" i="8"/>
  <c r="J148" i="8"/>
  <c r="J242" i="8"/>
  <c r="J226" i="8"/>
  <c r="J217" i="8"/>
  <c r="J111" i="8"/>
  <c r="J141" i="8"/>
  <c r="J95" i="8"/>
  <c r="J78" i="8"/>
  <c r="J27" i="8"/>
  <c r="J97" i="8"/>
  <c r="J182" i="8"/>
  <c r="J126" i="8"/>
  <c r="J67" i="8"/>
  <c r="J180" i="8"/>
  <c r="J134" i="8"/>
  <c r="J22" i="8"/>
  <c r="J203" i="8"/>
  <c r="J257" i="8"/>
  <c r="J109" i="8"/>
  <c r="J122" i="8"/>
  <c r="J144" i="8"/>
  <c r="J230" i="8"/>
  <c r="J29" i="8"/>
  <c r="J121" i="8"/>
  <c r="J99" i="8"/>
  <c r="J209" i="8"/>
  <c r="J77" i="8"/>
  <c r="J137" i="8"/>
  <c r="J101" i="8"/>
  <c r="J53" i="8"/>
  <c r="J32" i="8"/>
  <c r="J54" i="8"/>
  <c r="J238" i="8"/>
  <c r="J259" i="8"/>
  <c r="J47" i="8"/>
  <c r="J167" i="8"/>
  <c r="J76" i="8"/>
  <c r="J48" i="8"/>
  <c r="J73" i="8"/>
  <c r="J199" i="8"/>
  <c r="J119" i="8"/>
  <c r="J181" i="8"/>
  <c r="J105" i="8"/>
  <c r="J202" i="8"/>
  <c r="J117" i="8"/>
  <c r="J166" i="8"/>
  <c r="J86" i="8"/>
  <c r="J173" i="8"/>
  <c r="J204" i="8"/>
  <c r="J207" i="8"/>
  <c r="J186" i="8"/>
  <c r="J118" i="8"/>
  <c r="J14" i="8"/>
  <c r="J74" i="8"/>
  <c r="J189" i="8"/>
  <c r="J127" i="8"/>
  <c r="J223" i="8"/>
  <c r="J26" i="8"/>
  <c r="J24" i="8"/>
  <c r="J129" i="8"/>
  <c r="J88" i="8"/>
  <c r="J196" i="8"/>
  <c r="J15" i="8"/>
  <c r="J197" i="8"/>
  <c r="J232" i="8"/>
  <c r="J187" i="8"/>
  <c r="J262" i="1"/>
  <c r="L262" i="1" s="1"/>
  <c r="L140" i="1"/>
  <c r="P140" i="1"/>
  <c r="P262" i="1" s="1"/>
  <c r="F140" i="8"/>
  <c r="J6" i="8"/>
  <c r="J107" i="8"/>
  <c r="J154" i="8"/>
  <c r="J11" i="8"/>
  <c r="J213" i="8"/>
  <c r="J37" i="8"/>
  <c r="J246" i="8"/>
  <c r="J160" i="8"/>
  <c r="D264" i="8"/>
  <c r="X264" i="7"/>
  <c r="Z262" i="7"/>
  <c r="Z264" i="7" s="1"/>
  <c r="J8" i="8"/>
  <c r="L5" i="1"/>
  <c r="P5" i="1"/>
  <c r="F5" i="8"/>
  <c r="J63" i="8"/>
  <c r="J35" i="8"/>
  <c r="J40" i="8"/>
  <c r="J38" i="8"/>
  <c r="J21" i="8"/>
  <c r="J31" i="8"/>
  <c r="J170" i="8"/>
  <c r="J41" i="8"/>
  <c r="J219" i="8"/>
  <c r="J17" i="8"/>
  <c r="J168" i="8"/>
  <c r="J244" i="8"/>
  <c r="J178" i="8"/>
  <c r="J195" i="8"/>
  <c r="J34" i="8"/>
  <c r="J228" i="8"/>
  <c r="J87" i="8"/>
  <c r="J52" i="8"/>
  <c r="J113" i="8"/>
  <c r="J175" i="8"/>
  <c r="J227" i="8"/>
  <c r="J23" i="8"/>
  <c r="J92" i="8"/>
  <c r="J169" i="8"/>
  <c r="J155" i="8"/>
  <c r="J210" i="8"/>
  <c r="J162" i="8"/>
  <c r="J132" i="8"/>
  <c r="J69" i="8"/>
  <c r="J211" i="8"/>
  <c r="J114" i="8"/>
  <c r="J71" i="8"/>
  <c r="J236" i="8"/>
  <c r="J39" i="8"/>
  <c r="J12" i="8"/>
  <c r="J229" i="8"/>
  <c r="J79" i="8"/>
  <c r="J42" i="8"/>
  <c r="J164" i="8"/>
  <c r="J108" i="8"/>
  <c r="J234" i="8"/>
  <c r="J192" i="8"/>
  <c r="J25" i="8"/>
  <c r="J124" i="8"/>
  <c r="J30" i="8"/>
  <c r="J103" i="8"/>
  <c r="J216" i="8"/>
  <c r="J206" i="8"/>
  <c r="J253" i="8"/>
  <c r="J139" i="8"/>
  <c r="J136" i="8"/>
  <c r="J104" i="8"/>
  <c r="J191" i="8"/>
  <c r="J123" i="8"/>
  <c r="J93" i="8"/>
  <c r="J36" i="8"/>
  <c r="J205" i="8"/>
  <c r="J98" i="8"/>
  <c r="J149" i="8"/>
  <c r="J56" i="8"/>
  <c r="J9" i="8"/>
  <c r="J102" i="8"/>
  <c r="J193" i="8"/>
  <c r="J45" i="8"/>
  <c r="J147" i="8"/>
  <c r="J240" i="8"/>
  <c r="J72" i="8"/>
  <c r="J60" i="8"/>
  <c r="J151" i="8"/>
  <c r="J153" i="8"/>
  <c r="J264" i="1" l="1"/>
  <c r="P264" i="1"/>
  <c r="H262" i="8"/>
  <c r="F262" i="8"/>
  <c r="F264" i="8" s="1"/>
  <c r="H264" i="8" l="1"/>
  <c r="H267" i="8" s="1"/>
  <c r="L264" i="1"/>
  <c r="J5" i="8"/>
  <c r="J140" i="8"/>
  <c r="J262" i="8" s="1"/>
  <c r="H269" i="8" l="1"/>
  <c r="J269" i="8" s="1"/>
  <c r="H268" i="8"/>
  <c r="J268" i="8" s="1"/>
  <c r="H270" i="8"/>
  <c r="J270" i="8" s="1"/>
  <c r="J264" i="8"/>
  <c r="H272" i="8" l="1"/>
  <c r="J267" i="8"/>
  <c r="J272" i="8" s="1"/>
  <c r="C267" i="2" l="1"/>
</calcChain>
</file>

<file path=xl/comments1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3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  <author>Lori Shaw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V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0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114" authorId="3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A774 FTE are manually subtracted from total fir FY14</t>
        </r>
      </text>
    </comment>
  </commentList>
</comments>
</file>

<file path=xl/comments5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6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sharedStrings.xml><?xml version="1.0" encoding="utf-8"?>
<sst xmlns="http://schemas.openxmlformats.org/spreadsheetml/2006/main" count="3622" uniqueCount="582">
  <si>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</si>
  <si>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</si>
  <si>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</si>
  <si>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</si>
  <si>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</si>
  <si>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</si>
  <si>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</si>
  <si>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</si>
  <si>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</si>
  <si>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</si>
  <si>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</si>
  <si>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</si>
  <si>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</si>
  <si>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</si>
  <si>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</si>
  <si>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</si>
  <si>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</si>
  <si>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</si>
  <si>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</si>
  <si>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</si>
  <si>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</si>
  <si>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</si>
  <si>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</si>
  <si>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</si>
  <si>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</si>
  <si>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</si>
  <si>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</si>
  <si>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</si>
  <si>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</si>
  <si>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</si>
  <si>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</si>
  <si>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</si>
  <si>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</si>
  <si>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</si>
  <si>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</si>
  <si>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</si>
  <si>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</si>
  <si>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</si>
  <si>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</si>
  <si>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</si>
  <si>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</si>
  <si>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</si>
  <si>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</si>
  <si>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</si>
  <si>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</si>
  <si>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</si>
  <si>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</si>
  <si>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</si>
  <si>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</si>
  <si>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</si>
  <si>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</si>
  <si>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</si>
  <si>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</si>
  <si>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</si>
  <si>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</si>
  <si>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</si>
  <si>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</si>
  <si>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</si>
  <si>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</si>
  <si>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</si>
  <si>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</si>
  <si>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</si>
  <si>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</si>
  <si>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</si>
  <si>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</si>
  <si>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</si>
  <si>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</si>
  <si>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</si>
  <si>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</si>
  <si>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</si>
  <si>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</si>
  <si>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</si>
  <si>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</si>
  <si>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</si>
  <si>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</si>
  <si>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</si>
  <si>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</si>
  <si>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</si>
  <si>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</si>
  <si>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</si>
  <si>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</si>
  <si>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</si>
  <si>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</si>
  <si>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</si>
  <si>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</si>
  <si>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</si>
  <si>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</si>
  <si>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</si>
  <si>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</si>
  <si>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</si>
  <si>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</si>
  <si>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</si>
  <si>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</si>
  <si>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</si>
  <si>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</si>
  <si>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</si>
  <si>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</si>
  <si>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</si>
  <si>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</si>
  <si>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</si>
  <si>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</si>
  <si>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</si>
  <si>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</si>
  <si>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</si>
  <si>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</si>
  <si>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</si>
  <si>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</si>
  <si>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</si>
  <si>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</si>
  <si>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</si>
  <si>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</si>
  <si>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</si>
  <si>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</si>
  <si>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</si>
  <si>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</si>
  <si>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</si>
  <si>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</si>
  <si>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</si>
  <si>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</si>
  <si>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</si>
  <si>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</si>
  <si>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</si>
  <si>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</si>
  <si>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</si>
  <si>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</si>
  <si>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</si>
  <si>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</si>
  <si>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</si>
  <si>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</si>
  <si>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</si>
  <si>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</si>
  <si>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</si>
  <si>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</si>
  <si>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</si>
  <si>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</si>
  <si>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</si>
  <si>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</si>
  <si>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</si>
  <si>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</si>
  <si>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</si>
  <si>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</si>
  <si>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</si>
  <si>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</si>
  <si>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</si>
  <si>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</si>
  <si>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</si>
  <si>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</si>
  <si>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</si>
  <si>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</si>
  <si>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</si>
  <si>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</si>
  <si>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</si>
  <si>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</si>
  <si>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</si>
  <si>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</si>
  <si>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</si>
  <si>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</si>
  <si>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</si>
  <si>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</si>
  <si>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</si>
  <si>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</si>
  <si>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</si>
  <si>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</si>
  <si>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</si>
  <si>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</si>
  <si>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</si>
  <si>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</si>
  <si>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</si>
  <si>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</si>
  <si>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</si>
  <si>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</si>
  <si>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</si>
  <si>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</si>
  <si>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</si>
  <si>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</si>
  <si>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</si>
  <si>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</si>
  <si>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</si>
  <si>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</si>
  <si>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</si>
  <si>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</si>
  <si>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</si>
  <si>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</si>
  <si>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</si>
  <si>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</si>
  <si>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</si>
  <si>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</si>
  <si>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</si>
  <si>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</si>
  <si>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</si>
  <si>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</si>
  <si>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</si>
  <si>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</si>
  <si>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</si>
  <si>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</si>
  <si>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</si>
  <si>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</si>
  <si>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</si>
  <si>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</si>
  <si>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</si>
  <si>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</si>
  <si>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</si>
  <si>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</si>
  <si>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</si>
  <si>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</si>
  <si>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</si>
  <si>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</si>
  <si>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</si>
  <si>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</si>
  <si>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</si>
  <si>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</si>
  <si>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</si>
  <si>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</si>
  <si>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</si>
  <si>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</si>
  <si>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</si>
  <si>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</si>
  <si>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</si>
  <si>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</si>
  <si>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</si>
  <si>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</si>
  <si>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</si>
  <si>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</si>
  <si>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</si>
  <si>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</si>
  <si>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</si>
  <si>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</si>
  <si>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</si>
  <si>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</si>
  <si>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</si>
  <si>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</si>
  <si>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</si>
  <si>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</si>
  <si>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</si>
  <si>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</si>
  <si>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</si>
  <si>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</si>
  <si>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</si>
  <si>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</si>
  <si>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</si>
  <si>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</si>
  <si>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</si>
  <si>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</si>
  <si>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</si>
  <si>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</si>
  <si>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</si>
  <si>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</si>
  <si>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</si>
  <si>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</si>
  <si>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</si>
  <si>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</si>
  <si>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</si>
  <si>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</si>
  <si>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</si>
  <si>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</si>
  <si>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</si>
  <si>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</si>
  <si>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</si>
  <si>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</si>
  <si>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</si>
  <si>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</si>
  <si>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</si>
  <si>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</si>
  <si>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</si>
  <si>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</si>
  <si>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</si>
  <si>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</si>
  <si>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</si>
  <si>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</si>
  <si>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</si>
  <si>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</si>
  <si>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</si>
  <si>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</si>
  <si>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</si>
  <si>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</si>
  <si>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</si>
  <si>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</si>
  <si>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</si>
  <si>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</si>
  <si>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</si>
  <si>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</si>
  <si>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</si>
  <si>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</si>
  <si>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</si>
  <si>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</si>
  <si>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</si>
  <si>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</si>
  <si>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</si>
  <si>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</si>
  <si>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</si>
  <si>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</si>
  <si>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</si>
  <si>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</si>
  <si>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</si>
  <si>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</si>
  <si>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</si>
  <si>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</si>
  <si>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</si>
  <si>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</si>
  <si>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</si>
  <si>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</si>
  <si>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</si>
  <si>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</si>
  <si>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</si>
  <si>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</si>
  <si>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</si>
  <si>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</si>
  <si>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</si>
  <si>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</si>
  <si>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</si>
  <si>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</si>
  <si>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</si>
  <si>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</si>
  <si>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</si>
  <si>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</si>
  <si>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</si>
  <si>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</si>
  <si>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</si>
  <si>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</si>
  <si>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</si>
  <si>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</si>
  <si>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</si>
  <si>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</si>
  <si>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</si>
  <si>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</si>
  <si>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</si>
  <si>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</si>
  <si>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</si>
  <si>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</si>
  <si>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</si>
  <si>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</si>
  <si>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</si>
  <si>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</si>
  <si>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</si>
  <si>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</si>
  <si>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</si>
  <si>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</si>
  <si>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</si>
  <si>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</si>
  <si>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</si>
  <si>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</si>
  <si>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</si>
  <si>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</si>
  <si>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</si>
  <si>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</si>
  <si>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</si>
  <si>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</si>
  <si>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</si>
  <si>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</si>
  <si>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</si>
  <si>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</si>
  <si>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</si>
  <si>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</si>
  <si>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</si>
  <si>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</si>
  <si>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</si>
  <si>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</si>
  <si>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</si>
  <si>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</si>
  <si>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</si>
  <si>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</si>
  <si>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</si>
  <si>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</si>
  <si>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</si>
  <si>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</si>
  <si>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</si>
  <si>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</si>
  <si>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</si>
  <si>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</si>
  <si>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</si>
  <si>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</si>
  <si>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</si>
  <si>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</si>
  <si>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</si>
  <si>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</si>
  <si>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</si>
  <si>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</si>
  <si>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</si>
  <si>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</si>
  <si>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</si>
  <si>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</si>
  <si>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</si>
  <si>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</si>
  <si>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</si>
  <si>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</si>
  <si>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</si>
  <si>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</si>
  <si>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</si>
  <si>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</si>
  <si>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</si>
  <si>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</si>
  <si>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</si>
  <si>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</si>
  <si>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</si>
  <si>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</si>
  <si>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</si>
  <si>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</si>
  <si>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</si>
  <si>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</si>
  <si>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</si>
  <si>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</si>
  <si>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</si>
  <si>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</si>
  <si>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</si>
  <si>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</si>
  <si>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</si>
  <si>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</si>
  <si>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</si>
  <si>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</si>
  <si>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</si>
  <si>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</si>
  <si>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</si>
  <si>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</si>
  <si>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</si>
  <si>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</si>
  <si>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</si>
  <si>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</si>
  <si>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</si>
  <si>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</si>
  <si>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</si>
  <si>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</si>
  <si>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</si>
  <si>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</si>
  <si>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</si>
  <si>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</si>
  <si>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</si>
  <si>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</si>
  <si>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</si>
  <si>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</si>
  <si>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</si>
  <si>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</si>
  <si>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</si>
  <si>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</si>
  <si>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</si>
  <si>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</si>
  <si>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</si>
  <si>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</si>
  <si>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</si>
  <si>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</si>
  <si>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</si>
  <si>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</si>
  <si>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</si>
  <si>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</si>
  <si>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</si>
  <si>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</si>
  <si>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</si>
  <si>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</si>
  <si>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</si>
  <si>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</si>
  <si>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</si>
  <si>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</si>
  <si>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</si>
  <si>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</si>
  <si>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</si>
  <si>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</si>
  <si>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</si>
  <si>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</si>
  <si>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</si>
  <si>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</si>
  <si>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</si>
  <si>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</si>
  <si>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</si>
  <si>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</si>
  <si>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</si>
  <si>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</si>
  <si>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</si>
  <si>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</si>
  <si>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</si>
  <si>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</si>
  <si>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</si>
  <si>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</si>
  <si>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</si>
  <si>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</si>
  <si>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</si>
  <si>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</si>
  <si>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</si>
  <si>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</si>
  <si>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</si>
  <si>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</si>
  <si>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</si>
  <si>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</si>
  <si>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</si>
  <si>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</si>
  <si>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</si>
  <si>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</si>
  <si>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</si>
  <si>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</si>
  <si>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</si>
  <si>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</si>
  <si>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</si>
  <si>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</si>
  <si>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</si>
  <si>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</si>
  <si>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</si>
  <si>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</si>
  <si>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</si>
  <si>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</si>
  <si>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</si>
  <si>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</si>
  <si>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</si>
  <si>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</si>
  <si>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</si>
  <si>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</si>
  <si>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</si>
  <si>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</si>
  <si>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</si>
  <si>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</si>
  <si>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</si>
  <si>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</si>
  <si>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</si>
  <si>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</si>
  <si>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</si>
  <si>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</si>
  <si>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</si>
  <si>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</si>
  <si>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</si>
  <si>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</si>
  <si>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</si>
  <si>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</si>
  <si>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</si>
  <si>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</si>
  <si>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</si>
  <si>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</si>
  <si>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</si>
  <si>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</si>
  <si>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</si>
  <si>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</si>
  <si>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</si>
  <si>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</si>
  <si>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</si>
  <si>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</si>
  <si>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</si>
  <si>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</si>
  <si>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</si>
  <si>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</si>
  <si>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</si>
  <si>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</si>
  <si>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</si>
  <si>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</si>
  <si>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</si>
  <si>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</si>
  <si>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</si>
  <si>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</si>
  <si>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</si>
  <si>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</si>
  <si>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</si>
  <si>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</si>
  <si>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</si>
  <si>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</si>
  <si>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</si>
  <si>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</si>
  <si>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</si>
  <si>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</si>
  <si>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</si>
  <si>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</si>
  <si>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</si>
  <si>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</si>
  <si>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</si>
  <si>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</si>
  <si>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</si>
  <si>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</si>
  <si>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</si>
  <si>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</si>
  <si>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</si>
  <si>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</si>
  <si>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</si>
  <si>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</si>
  <si>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FY2014</t>
  </si>
  <si>
    <t>2014 Avg.</t>
  </si>
  <si>
    <t>C249</t>
  </si>
  <si>
    <t>Wise</t>
  </si>
  <si>
    <t>A774</t>
  </si>
  <si>
    <t>Projected Current FY (2017) Claim Payments</t>
  </si>
  <si>
    <t>FY2015</t>
  </si>
  <si>
    <t>2015 Avg.</t>
  </si>
  <si>
    <t>FY2016</t>
  </si>
  <si>
    <t>2016 Avg.</t>
  </si>
  <si>
    <t>Previous</t>
  </si>
  <si>
    <t xml:space="preserve">Payment </t>
  </si>
  <si>
    <t>Initial</t>
  </si>
  <si>
    <t>Projected Current FY (2018) Claim Payments</t>
  </si>
  <si>
    <t>FY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</si>
</sst>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</numFmts>
  <fonts count="4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3" applyNumberFormat="0" applyAlignment="0" applyProtection="0"/>
    <xf numFmtId="0" fontId="18" fillId="21" borderId="4" applyNumberFormat="0" applyAlignment="0" applyProtection="0"/>
    <xf numFmtId="43" fontId="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3" applyNumberFormat="0" applyAlignment="0" applyProtection="0"/>
    <xf numFmtId="0" fontId="26" fillId="0" borderId="8" applyNumberFormat="0" applyFill="0" applyAlignment="0" applyProtection="0"/>
    <xf numFmtId="0" fontId="27" fillId="22" borderId="0" applyNumberFormat="0" applyBorder="0" applyAlignment="0" applyProtection="0"/>
    <xf numFmtId="0" fontId="19" fillId="0" borderId="0"/>
    <xf numFmtId="0" fontId="13" fillId="0" borderId="0"/>
    <xf numFmtId="0" fontId="28" fillId="0" borderId="0"/>
    <xf numFmtId="0" fontId="4" fillId="0" borderId="0"/>
    <xf numFmtId="0" fontId="4" fillId="23" borderId="9" applyNumberFormat="0" applyFont="0" applyAlignment="0" applyProtection="0"/>
    <xf numFmtId="0" fontId="29" fillId="20" borderId="10" applyNumberFormat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19" fillId="0" borderId="0"/>
    <xf numFmtId="0" fontId="4" fillId="0" borderId="0"/>
    <xf numFmtId="43" fontId="35" fillId="0" borderId="0" applyFont="0" applyFill="0" applyBorder="0" applyAlignment="0" applyProtection="0"/>
    <xf numFmtId="0" fontId="34" fillId="0" borderId="0"/>
    <xf numFmtId="0" fontId="37" fillId="0" borderId="0">
      <alignment wrapText="1"/>
    </xf>
    <xf numFmtId="0" fontId="3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wrapText="1"/>
    </xf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wrapText="1"/>
    </xf>
  </cellStyleXfs>
  <cellXfs count="99">
    <xf numFmtId="0" fontId="0" fillId="0" borderId="0" xfId="0"/>
    <xf numFmtId="0" fontId="5" fillId="0" borderId="0" xfId="0" applyFont="1" applyAlignment="1">
      <alignment horizontal="center"/>
    </xf>
    <xf numFmtId="9" fontId="6" fillId="0" borderId="0" xfId="2" applyFont="1" applyAlignment="1">
      <alignment horizontal="center"/>
    </xf>
    <xf numFmtId="164" fontId="4" fillId="0" borderId="0" xfId="2" applyNumberFormat="1"/>
    <xf numFmtId="165" fontId="0" fillId="0" borderId="0" xfId="0" applyNumberFormat="1"/>
    <xf numFmtId="4" fontId="0" fillId="0" borderId="0" xfId="0" applyNumberFormat="1"/>
    <xf numFmtId="10" fontId="4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6" fillId="0" borderId="0" xfId="0" applyFont="1" applyAlignment="1">
      <alignment horizontal="center"/>
    </xf>
    <xf numFmtId="164" fontId="4" fillId="0" borderId="2" xfId="2" applyNumberFormat="1" applyBorder="1"/>
    <xf numFmtId="10" fontId="5" fillId="0" borderId="0" xfId="2" applyNumberFormat="1" applyFont="1" applyAlignment="1">
      <alignment horizontal="center"/>
    </xf>
    <xf numFmtId="166" fontId="4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5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4" fillId="0" borderId="0" xfId="2" applyNumberFormat="1"/>
    <xf numFmtId="37" fontId="0" fillId="0" borderId="0" xfId="1" applyNumberFormat="1" applyFont="1"/>
    <xf numFmtId="164" fontId="4" fillId="0" borderId="1" xfId="2" applyNumberFormat="1" applyBorder="1"/>
    <xf numFmtId="4" fontId="0" fillId="0" borderId="1" xfId="0" applyNumberFormat="1" applyBorder="1"/>
    <xf numFmtId="10" fontId="4" fillId="0" borderId="1" xfId="2" applyNumberFormat="1" applyBorder="1"/>
    <xf numFmtId="37" fontId="0" fillId="0" borderId="1" xfId="1" applyNumberFormat="1" applyFont="1" applyBorder="1"/>
    <xf numFmtId="168" fontId="4" fillId="0" borderId="1" xfId="2" applyNumberFormat="1" applyBorder="1"/>
    <xf numFmtId="166" fontId="4" fillId="0" borderId="1" xfId="1" applyNumberFormat="1" applyBorder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11" fillId="0" borderId="0" xfId="2" applyNumberFormat="1" applyFont="1"/>
    <xf numFmtId="10" fontId="11" fillId="0" borderId="0" xfId="2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39" fontId="12" fillId="0" borderId="0" xfId="0" applyNumberFormat="1" applyFont="1"/>
    <xf numFmtId="0" fontId="12" fillId="0" borderId="0" xfId="0" applyFont="1"/>
    <xf numFmtId="2" fontId="12" fillId="0" borderId="0" xfId="0" applyNumberFormat="1" applyFont="1"/>
    <xf numFmtId="39" fontId="4" fillId="0" borderId="0" xfId="0" applyNumberFormat="1" applyFont="1"/>
    <xf numFmtId="10" fontId="4" fillId="0" borderId="0" xfId="2" applyNumberFormat="1" applyFont="1"/>
    <xf numFmtId="37" fontId="4" fillId="0" borderId="0" xfId="1" applyNumberFormat="1" applyFont="1"/>
    <xf numFmtId="39" fontId="4" fillId="0" borderId="2" xfId="0" applyNumberFormat="1" applyFont="1" applyBorder="1"/>
    <xf numFmtId="37" fontId="4" fillId="0" borderId="2" xfId="1" applyNumberFormat="1" applyFont="1" applyBorder="1"/>
    <xf numFmtId="4" fontId="4" fillId="0" borderId="0" xfId="0" applyNumberFormat="1" applyFont="1"/>
    <xf numFmtId="164" fontId="4" fillId="0" borderId="0" xfId="0" applyNumberFormat="1" applyFont="1"/>
    <xf numFmtId="10" fontId="4" fillId="0" borderId="2" xfId="2" applyNumberFormat="1" applyFont="1" applyBorder="1"/>
    <xf numFmtId="39" fontId="4" fillId="0" borderId="1" xfId="0" applyNumberFormat="1" applyFont="1" applyBorder="1"/>
    <xf numFmtId="0" fontId="0" fillId="0" borderId="0" xfId="0"/>
    <xf numFmtId="0" fontId="0" fillId="0" borderId="0" xfId="0"/>
    <xf numFmtId="0" fontId="5" fillId="0" borderId="0" xfId="0" applyFont="1" applyAlignment="1">
      <alignment horizontal="right"/>
    </xf>
    <xf numFmtId="0" fontId="4" fillId="0" borderId="0" xfId="0" applyFont="1"/>
    <xf numFmtId="164" fontId="4" fillId="0" borderId="0" xfId="2" applyNumberFormat="1"/>
    <xf numFmtId="10" fontId="4" fillId="0" borderId="0" xfId="2" applyNumberFormat="1"/>
    <xf numFmtId="164" fontId="4" fillId="0" borderId="0" xfId="2" applyNumberFormat="1" applyFont="1"/>
    <xf numFmtId="39" fontId="3" fillId="0" borderId="0" xfId="0" applyNumberFormat="1" applyFont="1"/>
    <xf numFmtId="0" fontId="3" fillId="0" borderId="0" xfId="0" applyFont="1"/>
    <xf numFmtId="39" fontId="4" fillId="0" borderId="0" xfId="0" applyNumberFormat="1" applyFont="1" applyBorder="1"/>
    <xf numFmtId="165" fontId="4" fillId="0" borderId="0" xfId="2" applyNumberFormat="1" applyFont="1"/>
    <xf numFmtId="37" fontId="4" fillId="0" borderId="1" xfId="1" applyNumberFormat="1" applyFont="1" applyBorder="1"/>
    <xf numFmtId="0" fontId="4" fillId="0" borderId="0" xfId="0" applyFont="1" applyAlignment="1">
      <alignment horizontal="centerContinuous"/>
    </xf>
    <xf numFmtId="0" fontId="40" fillId="0" borderId="0" xfId="0" applyFont="1" applyAlignment="1">
      <alignment horizontal="center"/>
    </xf>
    <xf numFmtId="10" fontId="4" fillId="0" borderId="0" xfId="0" applyNumberFormat="1" applyFont="1"/>
    <xf numFmtId="37" fontId="4" fillId="0" borderId="0" xfId="0" applyNumberFormat="1" applyFont="1"/>
    <xf numFmtId="40" fontId="4" fillId="0" borderId="0" xfId="0" applyNumberFormat="1" applyFont="1"/>
    <xf numFmtId="39" fontId="2" fillId="0" borderId="0" xfId="0" applyNumberFormat="1" applyFont="1"/>
    <xf numFmtId="0" fontId="6" fillId="0" borderId="0" xfId="0" applyFont="1" applyAlignment="1">
      <alignment horizontal="centerContinuous"/>
    </xf>
    <xf numFmtId="39" fontId="1" fillId="0" borderId="0" xfId="0" applyNumberFormat="1" applyFont="1"/>
    <xf numFmtId="169" fontId="4" fillId="0" borderId="0" xfId="54" applyNumberFormat="1" applyFont="1" applyFill="1" applyBorder="1"/>
    <xf numFmtId="4" fontId="4" fillId="0" borderId="0" xfId="56" applyNumberFormat="1" applyFont="1" applyBorder="1"/>
    <xf numFmtId="4" fontId="4" fillId="0" borderId="0" xfId="56" applyNumberFormat="1" applyFont="1" applyFill="1" applyBorder="1"/>
    <xf numFmtId="2" fontId="4" fillId="0" borderId="0" xfId="67" applyNumberFormat="1" applyFont="1">
      <alignment wrapText="1"/>
    </xf>
    <xf numFmtId="2" fontId="4" fillId="0" borderId="0" xfId="0" applyNumberFormat="1" applyFont="1"/>
    <xf numFmtId="4" fontId="4" fillId="0" borderId="12" xfId="71" applyNumberFormat="1" applyFont="1" applyBorder="1">
      <alignment wrapText="1"/>
    </xf>
    <xf numFmtId="4" fontId="4" fillId="0" borderId="12" xfId="76" applyNumberFormat="1" applyFont="1" applyBorder="1">
      <alignment wrapText="1"/>
    </xf>
    <xf numFmtId="0" fontId="4" fillId="0" borderId="0" xfId="71" applyNumberFormat="1" applyFont="1">
      <alignment wrapText="1"/>
    </xf>
    <xf numFmtId="4" fontId="4" fillId="0" borderId="0" xfId="71" applyNumberFormat="1" applyFont="1">
      <alignment wrapText="1"/>
    </xf>
    <xf numFmtId="4" fontId="4" fillId="0" borderId="0" xfId="76" applyNumberFormat="1" applyFont="1">
      <alignment wrapText="1"/>
    </xf>
    <xf numFmtId="39" fontId="4" fillId="0" borderId="13" xfId="0" applyNumberFormat="1" applyFont="1" applyBorder="1"/>
    <xf numFmtId="40" fontId="4" fillId="0" borderId="0" xfId="3" applyNumberFormat="1" applyFont="1" applyBorder="1"/>
    <xf numFmtId="40" fontId="4" fillId="0" borderId="0" xfId="57" applyNumberFormat="1" applyFont="1" applyBorder="1"/>
    <xf numFmtId="40" fontId="1" fillId="0" borderId="0" xfId="3" applyNumberFormat="1" applyFont="1" applyBorder="1"/>
    <xf numFmtId="40" fontId="1" fillId="0" borderId="0" xfId="57" applyNumberFormat="1" applyFont="1" applyBorder="1"/>
    <xf numFmtId="4" fontId="1" fillId="0" borderId="0" xfId="0" applyNumberFormat="1" applyFont="1"/>
    <xf numFmtId="40" fontId="4" fillId="0" borderId="0" xfId="0" applyNumberFormat="1" applyFont="1" applyBorder="1"/>
    <xf numFmtId="2" fontId="0" fillId="0" borderId="0" xfId="2" applyNumberFormat="1" applyFont="1"/>
    <xf numFmtId="0" fontId="0" fillId="0" borderId="0" xfId="0" applyFill="1"/>
    <xf numFmtId="4" fontId="4" fillId="0" borderId="0" xfId="0" applyNumberFormat="1" applyFont="1" applyFill="1"/>
    <xf numFmtId="4" fontId="1" fillId="0" borderId="0" xfId="0" applyNumberFormat="1" applyFont="1" applyFill="1"/>
    <xf numFmtId="39" fontId="0" fillId="0" borderId="0" xfId="0" applyNumberFormat="1" applyFill="1"/>
    <xf numFmtId="164" fontId="4" fillId="0" borderId="0" xfId="2" applyNumberFormat="1" applyFill="1"/>
    <xf numFmtId="164" fontId="4" fillId="0" borderId="1" xfId="2" applyNumberFormat="1" applyFont="1" applyBorder="1"/>
    <xf numFmtId="40" fontId="4" fillId="0" borderId="0" xfId="57" applyNumberFormat="1" applyFont="1" applyFill="1" applyBorder="1"/>
    <xf numFmtId="40" fontId="1" fillId="0" borderId="0" xfId="57" applyNumberFormat="1" applyFont="1" applyFill="1" applyBorder="1"/>
    <xf numFmtId="40" fontId="4" fillId="0" borderId="0" xfId="0" applyNumberFormat="1" applyFont="1" applyFill="1" applyBorder="1"/>
    <xf numFmtId="2" fontId="0" fillId="0" borderId="0" xfId="2" applyNumberFormat="1" applyFont="1" applyFill="1"/>
    <xf numFmtId="0" fontId="4" fillId="0" borderId="0" xfId="0" applyFont="1" applyBorder="1"/>
    <xf numFmtId="43" fontId="4" fillId="0" borderId="0" xfId="1" applyFont="1" applyBorder="1"/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1"/>
  <sheetViews>
    <sheetView tabSelected="1" workbookViewId="0">
      <pane xSplit="2" ySplit="3" topLeftCell="C4" activePane="bottomRight" state="frozen"/>
      <selection activeCell="T274" sqref="T274"/>
      <selection pane="topRight" activeCell="T274" sqref="T274"/>
      <selection pane="bottomLeft" activeCell="T274" sqref="T274"/>
      <selection pane="bottomRight" activeCell="L15" sqref="L15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3">
      <c r="D1" s="1" t="s">
        <v>0</v>
      </c>
      <c r="F1" s="1"/>
      <c r="H1" s="1" t="s">
        <v>577</v>
      </c>
      <c r="J1" s="1"/>
    </row>
    <row r="2" spans="1:13">
      <c r="A2" s="19" t="s">
        <v>460</v>
      </c>
      <c r="B2" s="19"/>
      <c r="D2" s="1" t="s">
        <v>3</v>
      </c>
      <c r="F2" s="1" t="s">
        <v>3</v>
      </c>
      <c r="H2" s="1" t="s">
        <v>578</v>
      </c>
      <c r="J2" s="1" t="s">
        <v>560</v>
      </c>
    </row>
    <row r="3" spans="1:13">
      <c r="A3" s="11" t="s">
        <v>458</v>
      </c>
      <c r="B3" s="11" t="s">
        <v>459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3">
      <c r="D4" s="4"/>
      <c r="F4" s="5"/>
    </row>
    <row r="5" spans="1:13">
      <c r="A5" t="s">
        <v>7</v>
      </c>
      <c r="B5" t="s">
        <v>515</v>
      </c>
      <c r="D5" s="3">
        <f>+assessment!H5</f>
        <v>8.2929783963446254E-4</v>
      </c>
      <c r="F5" s="16">
        <f>+assessment!J5</f>
        <v>42774.818929535875</v>
      </c>
      <c r="H5" s="40">
        <v>-32168.43</v>
      </c>
      <c r="J5" s="16">
        <f t="shared" ref="J5:J29" si="0">SUM(F5:H5)</f>
        <v>10606.388929535875</v>
      </c>
      <c r="K5" s="16"/>
    </row>
    <row r="6" spans="1:13">
      <c r="A6" t="s">
        <v>8</v>
      </c>
      <c r="B6" t="s">
        <v>516</v>
      </c>
      <c r="D6" s="3">
        <f>+assessment!H6</f>
        <v>8.9919417765997394E-4</v>
      </c>
      <c r="F6" s="16">
        <f>+assessment!J6</f>
        <v>46380.041396046494</v>
      </c>
      <c r="H6" s="40">
        <v>-34879.49</v>
      </c>
      <c r="J6" s="16">
        <f t="shared" si="0"/>
        <v>11500.551396046496</v>
      </c>
      <c r="K6" s="16"/>
      <c r="M6" s="50"/>
    </row>
    <row r="7" spans="1:13">
      <c r="A7" t="s">
        <v>9</v>
      </c>
      <c r="B7" t="s">
        <v>10</v>
      </c>
      <c r="D7" s="3">
        <f>+assessment!H7</f>
        <v>6.5364155809560461E-4</v>
      </c>
      <c r="F7" s="16">
        <f>+assessment!J7</f>
        <v>33714.544951284479</v>
      </c>
      <c r="H7" s="40">
        <v>-25354.69</v>
      </c>
      <c r="J7" s="16">
        <f t="shared" si="0"/>
        <v>8359.8549512844802</v>
      </c>
      <c r="K7" s="16"/>
      <c r="M7" s="50"/>
    </row>
    <row r="8" spans="1:13">
      <c r="A8" t="s">
        <v>11</v>
      </c>
      <c r="B8" t="s">
        <v>12</v>
      </c>
      <c r="D8" s="3">
        <f>+assessment!H8</f>
        <v>3.0962701023023136E-4</v>
      </c>
      <c r="F8" s="16">
        <f>+assessment!J8</f>
        <v>15970.425419327617</v>
      </c>
      <c r="H8" s="40">
        <v>-12010.38</v>
      </c>
      <c r="J8" s="16">
        <f t="shared" si="0"/>
        <v>3960.0454193276182</v>
      </c>
      <c r="K8" s="16"/>
      <c r="M8" s="50"/>
    </row>
    <row r="9" spans="1:13">
      <c r="A9" t="s">
        <v>13</v>
      </c>
      <c r="B9" t="s">
        <v>14</v>
      </c>
      <c r="D9" s="3">
        <f>+assessment!H9</f>
        <v>4.9214345217148365E-5</v>
      </c>
      <c r="F9" s="16">
        <f>+assessment!J9</f>
        <v>2538.4543463022783</v>
      </c>
      <c r="H9" s="40">
        <v>-1909.05</v>
      </c>
      <c r="J9" s="16">
        <f t="shared" si="0"/>
        <v>629.40434630227833</v>
      </c>
      <c r="K9" s="16"/>
      <c r="M9" s="50"/>
    </row>
    <row r="10" spans="1:13">
      <c r="A10" t="s">
        <v>15</v>
      </c>
      <c r="B10" t="s">
        <v>16</v>
      </c>
      <c r="D10" s="3">
        <f>+assessment!H10</f>
        <v>5.6197898134871356E-5</v>
      </c>
      <c r="F10" s="16">
        <f>+assessment!J10</f>
        <v>2898.6629435803111</v>
      </c>
      <c r="H10" s="40">
        <v>-2179.94</v>
      </c>
      <c r="J10" s="16">
        <f t="shared" si="0"/>
        <v>718.72294358031104</v>
      </c>
      <c r="K10" s="16"/>
      <c r="M10" s="50"/>
    </row>
    <row r="11" spans="1:13">
      <c r="A11" t="s">
        <v>17</v>
      </c>
      <c r="B11" t="s">
        <v>18</v>
      </c>
      <c r="D11" s="3">
        <f>+assessment!H11</f>
        <v>1.2970788138072709E-4</v>
      </c>
      <c r="F11" s="16">
        <f>+assessment!J11</f>
        <v>6690.2756460089968</v>
      </c>
      <c r="H11" s="40">
        <v>-5031.33</v>
      </c>
      <c r="J11" s="16">
        <f t="shared" si="0"/>
        <v>1658.9456460089968</v>
      </c>
      <c r="K11" s="16"/>
      <c r="M11" s="50"/>
    </row>
    <row r="12" spans="1:13">
      <c r="A12" t="s">
        <v>19</v>
      </c>
      <c r="B12" t="s">
        <v>20</v>
      </c>
      <c r="D12" s="3">
        <f>+assessment!H12</f>
        <v>3.033170170902556E-5</v>
      </c>
      <c r="F12" s="16">
        <f>+assessment!J12</f>
        <v>1564.4958740036559</v>
      </c>
      <c r="H12" s="40">
        <v>-1176.56</v>
      </c>
      <c r="J12" s="16">
        <f t="shared" si="0"/>
        <v>387.93587400365595</v>
      </c>
      <c r="K12" s="16"/>
      <c r="M12" s="50"/>
    </row>
    <row r="13" spans="1:13">
      <c r="A13" t="s">
        <v>21</v>
      </c>
      <c r="B13" t="s">
        <v>22</v>
      </c>
      <c r="D13" s="3">
        <f>+assessment!H13</f>
        <v>1.238395754757578E-4</v>
      </c>
      <c r="F13" s="16">
        <f>+assessment!J13</f>
        <v>6387.5910006241365</v>
      </c>
      <c r="H13" s="40">
        <v>-6404.94</v>
      </c>
      <c r="J13" s="16">
        <f t="shared" si="0"/>
        <v>-17.348999375863059</v>
      </c>
      <c r="K13" s="16"/>
      <c r="M13" s="50"/>
    </row>
    <row r="14" spans="1:13">
      <c r="A14" t="s">
        <v>23</v>
      </c>
      <c r="B14" t="s">
        <v>24</v>
      </c>
      <c r="D14" s="3">
        <f>+assessment!H14</f>
        <v>4.3752460604105583E-4</v>
      </c>
      <c r="F14" s="16">
        <f>+assessment!J14</f>
        <v>22567.327329433156</v>
      </c>
      <c r="H14" s="40">
        <v>-16971.54</v>
      </c>
      <c r="J14" s="16">
        <f t="shared" si="0"/>
        <v>5595.7873294331548</v>
      </c>
      <c r="K14" s="16"/>
      <c r="M14" s="50"/>
    </row>
    <row r="15" spans="1:13">
      <c r="A15" t="s">
        <v>25</v>
      </c>
      <c r="B15" t="s">
        <v>26</v>
      </c>
      <c r="D15" s="3">
        <f>+assessment!H15</f>
        <v>7.7129707784913547E-6</v>
      </c>
      <c r="F15" s="16">
        <f>+assessment!J15</f>
        <v>397.83165069402742</v>
      </c>
      <c r="H15" s="40">
        <v>-299.18</v>
      </c>
      <c r="J15" s="16">
        <f t="shared" si="0"/>
        <v>98.65165069402741</v>
      </c>
      <c r="K15" s="16"/>
      <c r="M15" s="50"/>
    </row>
    <row r="16" spans="1:13">
      <c r="A16" t="s">
        <v>548</v>
      </c>
      <c r="B16" t="s">
        <v>549</v>
      </c>
      <c r="D16" s="3">
        <f>+assessment!H16</f>
        <v>2.0118453052244547E-5</v>
      </c>
      <c r="F16" s="16">
        <f>+assessment!J16</f>
        <v>1037.7009866942949</v>
      </c>
      <c r="H16" s="40">
        <v>-780.39</v>
      </c>
      <c r="J16" s="16">
        <f>SUM(F16:H16)</f>
        <v>257.31098669429491</v>
      </c>
      <c r="K16" s="16"/>
      <c r="M16" s="50"/>
    </row>
    <row r="17" spans="1:13">
      <c r="A17" t="s">
        <v>27</v>
      </c>
      <c r="B17" t="s">
        <v>517</v>
      </c>
      <c r="D17" s="3">
        <f>+assessment!H17</f>
        <v>8.6091020820596996E-5</v>
      </c>
      <c r="F17" s="16">
        <f>+assessment!J17</f>
        <v>4440.5371038746734</v>
      </c>
      <c r="H17" s="40">
        <v>-3339.45</v>
      </c>
      <c r="J17" s="16">
        <f>SUM(F17:H17)</f>
        <v>1101.0871038746736</v>
      </c>
      <c r="K17" s="16"/>
      <c r="M17" s="50"/>
    </row>
    <row r="18" spans="1:13">
      <c r="A18" t="s">
        <v>28</v>
      </c>
      <c r="B18" t="s">
        <v>518</v>
      </c>
      <c r="D18" s="3">
        <f>+assessment!H18</f>
        <v>7.9048611070405925E-5</v>
      </c>
      <c r="F18" s="16">
        <f>+assessment!J18</f>
        <v>4077.2926969860691</v>
      </c>
      <c r="H18" s="40">
        <v>-3066.31</v>
      </c>
      <c r="J18" s="16">
        <f t="shared" si="0"/>
        <v>1010.9826969860692</v>
      </c>
      <c r="K18" s="16"/>
      <c r="M18" s="50"/>
    </row>
    <row r="19" spans="1:13">
      <c r="A19" t="s">
        <v>29</v>
      </c>
      <c r="B19" t="s">
        <v>519</v>
      </c>
      <c r="D19" s="3">
        <f>+assessment!H19</f>
        <v>1.3127599473624209E-4</v>
      </c>
      <c r="F19" s="16">
        <f>+assessment!J19</f>
        <v>6771.158245284435</v>
      </c>
      <c r="H19" s="40">
        <v>-5092.2</v>
      </c>
      <c r="J19" s="16">
        <f t="shared" si="0"/>
        <v>1678.9582452844352</v>
      </c>
      <c r="K19" s="16"/>
      <c r="M19" s="50"/>
    </row>
    <row r="20" spans="1:13">
      <c r="A20" t="s">
        <v>30</v>
      </c>
      <c r="B20" t="s">
        <v>520</v>
      </c>
      <c r="D20" s="3">
        <f>+assessment!H20</f>
        <v>6.5920377811938099E-5</v>
      </c>
      <c r="F20" s="16">
        <f>+assessment!J20</f>
        <v>3400.1441821133003</v>
      </c>
      <c r="H20" s="40">
        <v>-2557.0300000000002</v>
      </c>
      <c r="J20" s="16">
        <f t="shared" si="0"/>
        <v>843.1141821133001</v>
      </c>
      <c r="K20" s="16"/>
      <c r="M20" s="50"/>
    </row>
    <row r="21" spans="1:13">
      <c r="A21" t="s">
        <v>31</v>
      </c>
      <c r="B21" t="s">
        <v>521</v>
      </c>
      <c r="D21" s="3">
        <f>+assessment!H21</f>
        <v>1.1874021317859762E-4</v>
      </c>
      <c r="F21" s="16">
        <f>+assessment!J21</f>
        <v>6124.5681293559883</v>
      </c>
      <c r="H21" s="40">
        <v>-4605.8999999999996</v>
      </c>
      <c r="J21" s="16">
        <f t="shared" si="0"/>
        <v>1518.6681293559886</v>
      </c>
      <c r="K21" s="16"/>
      <c r="M21" s="50"/>
    </row>
    <row r="22" spans="1:13">
      <c r="A22" t="s">
        <v>32</v>
      </c>
      <c r="B22" t="s">
        <v>522</v>
      </c>
      <c r="D22" s="3">
        <f>+assessment!H22</f>
        <v>2.9726939189300197E-5</v>
      </c>
      <c r="F22" s="16">
        <f>+assessment!J22</f>
        <v>1533.302488418539</v>
      </c>
      <c r="H22" s="40">
        <v>-1153.0999999999999</v>
      </c>
      <c r="J22" s="16">
        <f t="shared" si="0"/>
        <v>380.20248841853913</v>
      </c>
      <c r="K22" s="16"/>
      <c r="M22" s="50"/>
    </row>
    <row r="23" spans="1:13">
      <c r="A23" t="s">
        <v>33</v>
      </c>
      <c r="B23" t="s">
        <v>523</v>
      </c>
      <c r="D23" s="3">
        <f>+assessment!H23</f>
        <v>4.3546425320048928E-5</v>
      </c>
      <c r="F23" s="16">
        <f>+assessment!J23</f>
        <v>2246.1055233360848</v>
      </c>
      <c r="H23" s="40">
        <v>-1689.19</v>
      </c>
      <c r="J23" s="16">
        <f t="shared" si="0"/>
        <v>556.91552333608479</v>
      </c>
      <c r="K23" s="16"/>
      <c r="M23" s="50"/>
    </row>
    <row r="24" spans="1:13">
      <c r="A24" t="s">
        <v>34</v>
      </c>
      <c r="B24" t="s">
        <v>524</v>
      </c>
      <c r="D24" s="3">
        <f>+assessment!H24</f>
        <v>3.0909976638168529E-5</v>
      </c>
      <c r="F24" s="16">
        <f>+assessment!J24</f>
        <v>1594.3230412810765</v>
      </c>
      <c r="H24" s="40">
        <v>-1198.99</v>
      </c>
      <c r="J24" s="16">
        <f t="shared" si="0"/>
        <v>395.33304128107648</v>
      </c>
      <c r="K24" s="16"/>
      <c r="M24" s="50"/>
    </row>
    <row r="25" spans="1:13">
      <c r="A25" t="s">
        <v>35</v>
      </c>
      <c r="B25" t="s">
        <v>525</v>
      </c>
      <c r="D25" s="3">
        <f>+assessment!H25</f>
        <v>6.3600233891634821E-5</v>
      </c>
      <c r="F25" s="16">
        <f>+assessment!J25</f>
        <v>3280.472176063965</v>
      </c>
      <c r="H25" s="40">
        <v>-2467.04</v>
      </c>
      <c r="J25" s="16">
        <f t="shared" si="0"/>
        <v>813.43217606396502</v>
      </c>
      <c r="K25" s="16"/>
      <c r="M25" s="50"/>
    </row>
    <row r="26" spans="1:13">
      <c r="A26" t="s">
        <v>36</v>
      </c>
      <c r="B26" t="s">
        <v>526</v>
      </c>
      <c r="D26" s="3">
        <f>+assessment!H26</f>
        <v>2.8835980791675785E-5</v>
      </c>
      <c r="F26" s="16">
        <f>+assessment!J26</f>
        <v>1487.3472449454196</v>
      </c>
      <c r="H26" s="40">
        <v>-1118.54</v>
      </c>
      <c r="J26" s="16">
        <f t="shared" si="0"/>
        <v>368.8072449454196</v>
      </c>
      <c r="K26" s="16"/>
      <c r="M26" s="50"/>
    </row>
    <row r="27" spans="1:13">
      <c r="A27" t="s">
        <v>37</v>
      </c>
      <c r="B27" t="s">
        <v>527</v>
      </c>
      <c r="D27" s="3">
        <f>+assessment!H27</f>
        <v>3.9451304783036278E-5</v>
      </c>
      <c r="F27" s="16">
        <f>+assessment!J27</f>
        <v>2034.8810017063768</v>
      </c>
      <c r="H27" s="40">
        <v>-1530.34</v>
      </c>
      <c r="J27" s="16">
        <f t="shared" si="0"/>
        <v>504.54100170637685</v>
      </c>
      <c r="K27" s="16"/>
      <c r="M27" s="50"/>
    </row>
    <row r="28" spans="1:13">
      <c r="A28" t="s">
        <v>38</v>
      </c>
      <c r="B28" t="s">
        <v>528</v>
      </c>
      <c r="D28" s="3">
        <f>+assessment!H28</f>
        <v>3.0378618803648879E-5</v>
      </c>
      <c r="F28" s="16">
        <f>+assessment!J28</f>
        <v>1566.9158371716499</v>
      </c>
      <c r="H28" s="40">
        <v>-1178.3800000000001</v>
      </c>
      <c r="J28" s="16">
        <f t="shared" si="0"/>
        <v>388.53583717164975</v>
      </c>
      <c r="K28" s="16"/>
      <c r="M28" s="50"/>
    </row>
    <row r="29" spans="1:13">
      <c r="A29" t="s">
        <v>39</v>
      </c>
      <c r="B29" t="s">
        <v>529</v>
      </c>
      <c r="D29" s="3">
        <f>+assessment!H29</f>
        <v>5.3604302810157466E-5</v>
      </c>
      <c r="F29" s="16">
        <f>+assessment!J29</f>
        <v>2764.8864339971828</v>
      </c>
      <c r="H29" s="40">
        <v>-2079.3000000000002</v>
      </c>
      <c r="J29" s="16">
        <f t="shared" si="0"/>
        <v>685.58643399718267</v>
      </c>
      <c r="K29" s="16"/>
      <c r="M29" s="50"/>
    </row>
    <row r="30" spans="1:13">
      <c r="A30" t="s">
        <v>40</v>
      </c>
      <c r="B30" t="s">
        <v>530</v>
      </c>
      <c r="D30" s="3">
        <f>+assessment!H30</f>
        <v>9.8641647702304774E-4</v>
      </c>
      <c r="F30" s="16">
        <f>+assessment!J30</f>
        <v>50878.929351087791</v>
      </c>
      <c r="H30" s="40">
        <v>-38262.9</v>
      </c>
      <c r="J30" s="16">
        <f t="shared" ref="J30:J86" si="1">SUM(F30:H30)</f>
        <v>12616.029351087789</v>
      </c>
      <c r="K30" s="16"/>
      <c r="M30" s="50"/>
    </row>
    <row r="31" spans="1:13">
      <c r="A31" t="s">
        <v>41</v>
      </c>
      <c r="B31" t="s">
        <v>531</v>
      </c>
      <c r="D31" s="3">
        <f>+assessment!H31</f>
        <v>1.5107520638395714E-2</v>
      </c>
      <c r="F31" s="16">
        <f>+assessment!J31</f>
        <v>779239.29003172612</v>
      </c>
      <c r="H31" s="40">
        <v>-586016.56999999995</v>
      </c>
      <c r="J31" s="16">
        <f t="shared" si="1"/>
        <v>193222.72003172617</v>
      </c>
      <c r="K31" s="16"/>
      <c r="M31" s="50"/>
    </row>
    <row r="32" spans="1:13">
      <c r="A32" t="s">
        <v>42</v>
      </c>
      <c r="B32" t="s">
        <v>43</v>
      </c>
      <c r="D32" s="3">
        <f>+assessment!H32</f>
        <v>2.0265118689283184E-5</v>
      </c>
      <c r="F32" s="16">
        <f>+assessment!J32</f>
        <v>1045.2659359413326</v>
      </c>
      <c r="H32" s="40">
        <v>-786.08</v>
      </c>
      <c r="J32" s="16">
        <f t="shared" si="1"/>
        <v>259.18593594133256</v>
      </c>
      <c r="K32" s="16"/>
      <c r="M32" s="50"/>
    </row>
    <row r="33" spans="1:13">
      <c r="A33" t="s">
        <v>44</v>
      </c>
      <c r="B33" t="s">
        <v>45</v>
      </c>
      <c r="D33" s="3">
        <f>+assessment!H33</f>
        <v>1.4281449360555169E-5</v>
      </c>
      <c r="F33" s="16">
        <f>+assessment!J33</f>
        <v>736.63089574470541</v>
      </c>
      <c r="H33" s="40">
        <v>-553.97</v>
      </c>
      <c r="J33" s="16">
        <f t="shared" si="1"/>
        <v>182.66089574470539</v>
      </c>
      <c r="K33" s="16"/>
      <c r="M33" s="50"/>
    </row>
    <row r="34" spans="1:13">
      <c r="A34" t="s">
        <v>46</v>
      </c>
      <c r="B34" t="s">
        <v>47</v>
      </c>
      <c r="D34" s="3">
        <f>+assessment!H34</f>
        <v>4.4657369100876417E-4</v>
      </c>
      <c r="F34" s="16">
        <f>+assessment!J34</f>
        <v>23034.075164134283</v>
      </c>
      <c r="H34" s="40">
        <v>-17322.63</v>
      </c>
      <c r="J34" s="16">
        <f t="shared" si="1"/>
        <v>5711.4451641342821</v>
      </c>
      <c r="K34" s="16"/>
      <c r="M34" s="50"/>
    </row>
    <row r="35" spans="1:13">
      <c r="A35" t="s">
        <v>48</v>
      </c>
      <c r="B35" t="s">
        <v>49</v>
      </c>
      <c r="D35" s="3">
        <f>+assessment!H35</f>
        <v>9.2351439457965864E-3</v>
      </c>
      <c r="F35" s="16">
        <f>+assessment!J35</f>
        <v>476344.67520591913</v>
      </c>
      <c r="H35" s="40">
        <v>-358230.87</v>
      </c>
      <c r="J35" s="16">
        <f t="shared" si="1"/>
        <v>118113.80520591914</v>
      </c>
      <c r="K35" s="16"/>
      <c r="M35" s="50"/>
    </row>
    <row r="36" spans="1:13">
      <c r="A36" t="s">
        <v>50</v>
      </c>
      <c r="B36" t="s">
        <v>497</v>
      </c>
      <c r="D36" s="3">
        <f>+assessment!H36</f>
        <v>9.1523695637200702E-4</v>
      </c>
      <c r="F36" s="16">
        <f>+assessment!J36</f>
        <v>47207.520887415121</v>
      </c>
      <c r="H36" s="40">
        <v>-35502.46</v>
      </c>
      <c r="J36" s="16">
        <f t="shared" si="1"/>
        <v>11705.060887415122</v>
      </c>
      <c r="K36" s="16"/>
      <c r="M36" s="50"/>
    </row>
    <row r="37" spans="1:13">
      <c r="A37" t="s">
        <v>51</v>
      </c>
      <c r="B37" t="s">
        <v>52</v>
      </c>
      <c r="D37" s="3">
        <f>+assessment!H37</f>
        <v>7.0296742371802473E-3</v>
      </c>
      <c r="F37" s="16">
        <f>+assessment!J37</f>
        <v>362587.51471190091</v>
      </c>
      <c r="H37" s="40">
        <v>-272681</v>
      </c>
      <c r="J37" s="16">
        <f t="shared" si="1"/>
        <v>89906.514711900905</v>
      </c>
      <c r="K37" s="16"/>
      <c r="M37" s="50"/>
    </row>
    <row r="38" spans="1:13">
      <c r="A38" t="s">
        <v>53</v>
      </c>
      <c r="B38" t="s">
        <v>54</v>
      </c>
      <c r="D38" s="3">
        <f>+assessment!H38</f>
        <v>1.3872700747358223E-3</v>
      </c>
      <c r="F38" s="16">
        <f>+assessment!J38</f>
        <v>71554.782150818632</v>
      </c>
      <c r="H38" s="40">
        <v>-53812.41</v>
      </c>
      <c r="J38" s="16">
        <f t="shared" si="1"/>
        <v>17742.372150818628</v>
      </c>
      <c r="K38" s="16"/>
      <c r="M38" s="50"/>
    </row>
    <row r="39" spans="1:13">
      <c r="A39" t="s">
        <v>55</v>
      </c>
      <c r="B39" t="s">
        <v>56</v>
      </c>
      <c r="D39" s="3">
        <f>+assessment!H39</f>
        <v>3.506793729555124E-4</v>
      </c>
      <c r="F39" s="16">
        <f>+assessment!J39</f>
        <v>18087.888287647082</v>
      </c>
      <c r="H39" s="40">
        <v>-13602.909999999998</v>
      </c>
      <c r="J39" s="16">
        <f t="shared" si="1"/>
        <v>4484.9782876470836</v>
      </c>
      <c r="K39" s="16"/>
      <c r="M39" s="50"/>
    </row>
    <row r="40" spans="1:13">
      <c r="A40" t="s">
        <v>57</v>
      </c>
      <c r="B40" t="s">
        <v>58</v>
      </c>
      <c r="D40" s="3">
        <f>+assessment!H40</f>
        <v>3.7630434332106043E-4</v>
      </c>
      <c r="F40" s="16">
        <f>+assessment!J40</f>
        <v>19409.613022808793</v>
      </c>
      <c r="H40" s="40">
        <v>-14597.06</v>
      </c>
      <c r="J40" s="16">
        <f t="shared" si="1"/>
        <v>4812.5530228087937</v>
      </c>
      <c r="K40" s="16"/>
      <c r="M40" s="50"/>
    </row>
    <row r="41" spans="1:13">
      <c r="A41" t="s">
        <v>59</v>
      </c>
      <c r="B41" t="s">
        <v>60</v>
      </c>
      <c r="D41" s="3">
        <f>+assessment!H41</f>
        <v>3.4234729041769728E-4</v>
      </c>
      <c r="F41" s="16">
        <f>+assessment!J41</f>
        <v>17658.123123881451</v>
      </c>
      <c r="H41" s="40">
        <v>-13279.6</v>
      </c>
      <c r="J41" s="16">
        <f t="shared" si="1"/>
        <v>4378.5231238814504</v>
      </c>
      <c r="K41" s="16"/>
      <c r="M41" s="50"/>
    </row>
    <row r="42" spans="1:13">
      <c r="A42" t="s">
        <v>61</v>
      </c>
      <c r="B42" t="s">
        <v>532</v>
      </c>
      <c r="D42" s="3">
        <f>+assessment!H42</f>
        <v>1.667989287691825E-4</v>
      </c>
      <c r="F42" s="16">
        <f>+assessment!J42</f>
        <v>8603.4156062521579</v>
      </c>
      <c r="H42" s="40">
        <v>-6470.16</v>
      </c>
      <c r="J42" s="16">
        <f t="shared" si="1"/>
        <v>2133.255606252158</v>
      </c>
      <c r="K42" s="16"/>
      <c r="M42" s="50"/>
    </row>
    <row r="43" spans="1:13">
      <c r="A43" t="s">
        <v>62</v>
      </c>
      <c r="B43" t="s">
        <v>63</v>
      </c>
      <c r="D43" s="3">
        <f>+assessment!H43</f>
        <v>3.9922485221416545E-4</v>
      </c>
      <c r="F43" s="16">
        <f>+assessment!J43</f>
        <v>20591.842821101207</v>
      </c>
      <c r="H43" s="40">
        <v>-15485.939999999999</v>
      </c>
      <c r="J43" s="16">
        <f t="shared" si="1"/>
        <v>5105.9028211012082</v>
      </c>
      <c r="K43" s="16"/>
      <c r="M43" s="50"/>
    </row>
    <row r="44" spans="1:13">
      <c r="A44" s="50" t="s">
        <v>64</v>
      </c>
      <c r="B44" s="50" t="s">
        <v>533</v>
      </c>
      <c r="D44" s="3">
        <f>+assessment!H44</f>
        <v>9.4379093399726555E-3</v>
      </c>
      <c r="F44" s="16">
        <f>+assessment!J44</f>
        <v>486803.22532692307</v>
      </c>
      <c r="H44" s="40">
        <v>-366100.06</v>
      </c>
      <c r="J44" s="16">
        <f t="shared" si="1"/>
        <v>120703.16532692307</v>
      </c>
      <c r="K44" s="16"/>
      <c r="M44" s="50"/>
    </row>
    <row r="45" spans="1:13">
      <c r="A45" t="s">
        <v>555</v>
      </c>
      <c r="B45" t="s">
        <v>556</v>
      </c>
      <c r="D45" s="3">
        <f>+assessment!H45</f>
        <v>1.0449467175797031E-5</v>
      </c>
      <c r="F45" s="16">
        <f>+assessment!J45</f>
        <v>538.9789349407489</v>
      </c>
      <c r="H45" s="40">
        <v>-405.33</v>
      </c>
      <c r="J45" s="16">
        <f t="shared" si="1"/>
        <v>133.64893494074892</v>
      </c>
      <c r="K45" s="16"/>
      <c r="M45" s="50"/>
    </row>
    <row r="46" spans="1:13">
      <c r="A46" t="s">
        <v>65</v>
      </c>
      <c r="B46" t="s">
        <v>66</v>
      </c>
      <c r="D46" s="3">
        <f>+assessment!H46</f>
        <v>3.0356977426550008E-4</v>
      </c>
      <c r="F46" s="16">
        <f>+assessment!J46</f>
        <v>15657.995844304176</v>
      </c>
      <c r="H46" s="40">
        <v>-11775.59</v>
      </c>
      <c r="J46" s="16">
        <f t="shared" si="1"/>
        <v>3882.4058443041758</v>
      </c>
      <c r="K46" s="16"/>
      <c r="M46" s="50"/>
    </row>
    <row r="47" spans="1:13">
      <c r="A47" t="s">
        <v>67</v>
      </c>
      <c r="B47" t="s">
        <v>68</v>
      </c>
      <c r="D47" s="3">
        <f>+assessment!H47</f>
        <v>6.9870134869877355E-4</v>
      </c>
      <c r="F47" s="16">
        <f>+assessment!J47</f>
        <v>36038.709192328344</v>
      </c>
      <c r="H47" s="40">
        <v>-27102.75</v>
      </c>
      <c r="J47" s="16">
        <f t="shared" si="1"/>
        <v>8935.9591923283442</v>
      </c>
      <c r="K47" s="16"/>
      <c r="M47" s="50"/>
    </row>
    <row r="48" spans="1:13">
      <c r="A48" t="s">
        <v>69</v>
      </c>
      <c r="B48" t="s">
        <v>70</v>
      </c>
      <c r="D48" s="3">
        <f>+assessment!H48</f>
        <v>2.7290325694805616E-5</v>
      </c>
      <c r="F48" s="16">
        <f>+assessment!J48</f>
        <v>1407.6230328031597</v>
      </c>
      <c r="H48" s="40">
        <v>-1058.6300000000001</v>
      </c>
      <c r="J48" s="16">
        <f t="shared" si="1"/>
        <v>348.99303280315962</v>
      </c>
      <c r="K48" s="16"/>
      <c r="M48" s="50"/>
    </row>
    <row r="49" spans="1:13">
      <c r="A49" t="s">
        <v>71</v>
      </c>
      <c r="B49" t="s">
        <v>72</v>
      </c>
      <c r="D49" s="3">
        <f>+assessment!H49</f>
        <v>1.9266855385798307E-5</v>
      </c>
      <c r="F49" s="16">
        <f>+assessment!J49</f>
        <v>993.77595247605848</v>
      </c>
      <c r="H49" s="40">
        <v>-747.36</v>
      </c>
      <c r="J49" s="16">
        <f t="shared" si="1"/>
        <v>246.41595247605846</v>
      </c>
      <c r="K49" s="16"/>
      <c r="M49" s="50"/>
    </row>
    <row r="50" spans="1:13">
      <c r="A50" t="s">
        <v>73</v>
      </c>
      <c r="B50" t="s">
        <v>74</v>
      </c>
      <c r="D50" s="3">
        <f>+assessment!H50</f>
        <v>3.0863637398802663E-5</v>
      </c>
      <c r="F50" s="16">
        <f>+assessment!J50</f>
        <v>1591.9328836338782</v>
      </c>
      <c r="H50" s="40">
        <v>-1197.23</v>
      </c>
      <c r="J50" s="16">
        <f t="shared" si="1"/>
        <v>394.70288363387817</v>
      </c>
      <c r="K50" s="16"/>
      <c r="M50" s="50"/>
    </row>
    <row r="51" spans="1:13">
      <c r="A51" t="s">
        <v>75</v>
      </c>
      <c r="B51" t="s">
        <v>76</v>
      </c>
      <c r="D51" s="3">
        <f>+assessment!H51</f>
        <v>9.0764266310677843E-5</v>
      </c>
      <c r="F51" s="16">
        <f>+assessment!J51</f>
        <v>4681.5810570816284</v>
      </c>
      <c r="H51" s="40">
        <v>-3520.76</v>
      </c>
      <c r="J51" s="16">
        <f t="shared" si="1"/>
        <v>1160.8210570816282</v>
      </c>
      <c r="K51" s="16"/>
      <c r="M51" s="50"/>
    </row>
    <row r="52" spans="1:13">
      <c r="A52" t="s">
        <v>77</v>
      </c>
      <c r="B52" t="s">
        <v>78</v>
      </c>
      <c r="D52" s="3">
        <f>+assessment!H52</f>
        <v>1.7573575469277715E-5</v>
      </c>
      <c r="F52" s="16">
        <f>+assessment!J52</f>
        <v>906.43731686823696</v>
      </c>
      <c r="H52" s="40">
        <v>-681.67</v>
      </c>
      <c r="J52" s="16">
        <f t="shared" si="1"/>
        <v>224.767316868237</v>
      </c>
      <c r="K52" s="16"/>
      <c r="M52" s="50"/>
    </row>
    <row r="53" spans="1:13">
      <c r="A53" t="s">
        <v>79</v>
      </c>
      <c r="B53" t="s">
        <v>80</v>
      </c>
      <c r="D53" s="3">
        <f>+assessment!H53</f>
        <v>1.8512079896147629E-4</v>
      </c>
      <c r="F53" s="16">
        <f>+assessment!J53</f>
        <v>9548.4496368138098</v>
      </c>
      <c r="H53" s="40">
        <v>-7180.78</v>
      </c>
      <c r="J53" s="16">
        <f t="shared" si="1"/>
        <v>2367.66963681381</v>
      </c>
      <c r="K53" s="16"/>
      <c r="M53" s="50"/>
    </row>
    <row r="54" spans="1:13">
      <c r="A54" t="s">
        <v>81</v>
      </c>
      <c r="B54" t="s">
        <v>498</v>
      </c>
      <c r="D54" s="3">
        <f>+assessment!H54</f>
        <v>6.0281625659029008E-4</v>
      </c>
      <c r="F54" s="16">
        <f>+assessment!J54</f>
        <v>31092.998186026809</v>
      </c>
      <c r="H54" s="40">
        <v>-23383.31</v>
      </c>
      <c r="J54" s="16">
        <f t="shared" si="1"/>
        <v>7709.6881860268077</v>
      </c>
      <c r="K54" s="16"/>
      <c r="M54" s="50"/>
    </row>
    <row r="55" spans="1:13">
      <c r="A55" t="s">
        <v>82</v>
      </c>
      <c r="B55" t="s">
        <v>83</v>
      </c>
      <c r="D55" s="3">
        <f>+assessment!H55</f>
        <v>8.9916634350466599E-6</v>
      </c>
      <c r="F55" s="16">
        <f>+assessment!J55</f>
        <v>463.78605722520706</v>
      </c>
      <c r="H55" s="40">
        <v>-348.78</v>
      </c>
      <c r="J55" s="16">
        <f t="shared" si="1"/>
        <v>115.00605722520709</v>
      </c>
      <c r="K55" s="16"/>
      <c r="M55" s="50"/>
    </row>
    <row r="56" spans="1:13">
      <c r="A56" t="s">
        <v>84</v>
      </c>
      <c r="B56" s="36" t="s">
        <v>559</v>
      </c>
      <c r="D56" s="3">
        <f>+assessment!H56</f>
        <v>8.0355266373142078E-3</v>
      </c>
      <c r="F56" s="16">
        <f>+assessment!J56</f>
        <v>414468.94045459165</v>
      </c>
      <c r="H56" s="40">
        <v>-311702.15000000002</v>
      </c>
      <c r="J56" s="16">
        <f t="shared" si="1"/>
        <v>102766.79045459162</v>
      </c>
      <c r="K56" s="16"/>
      <c r="M56" s="50"/>
    </row>
    <row r="57" spans="1:13">
      <c r="A57" t="s">
        <v>85</v>
      </c>
      <c r="B57" t="s">
        <v>86</v>
      </c>
      <c r="D57" s="3">
        <f>+assessment!H57</f>
        <v>7.5055412625848594E-4</v>
      </c>
      <c r="F57" s="16">
        <f>+assessment!J57</f>
        <v>38713.252721933881</v>
      </c>
      <c r="H57" s="40">
        <v>-29114.300000000007</v>
      </c>
      <c r="J57" s="16">
        <f t="shared" si="1"/>
        <v>9598.9527219338743</v>
      </c>
      <c r="K57" s="16"/>
      <c r="M57" s="50"/>
    </row>
    <row r="58" spans="1:13">
      <c r="A58" t="s">
        <v>87</v>
      </c>
      <c r="B58" t="s">
        <v>88</v>
      </c>
      <c r="D58" s="3">
        <f>+assessment!H58</f>
        <v>5.6907920394421038E-2</v>
      </c>
      <c r="F58" s="16">
        <f>+assessment!J58</f>
        <v>2935285.5803902233</v>
      </c>
      <c r="H58" s="40">
        <v>-2207498.17</v>
      </c>
      <c r="J58" s="16">
        <f t="shared" si="1"/>
        <v>727787.41039022338</v>
      </c>
      <c r="K58" s="16"/>
      <c r="M58" s="50"/>
    </row>
    <row r="59" spans="1:13">
      <c r="A59" t="s">
        <v>89</v>
      </c>
      <c r="B59" s="36" t="s">
        <v>562</v>
      </c>
      <c r="D59" s="3">
        <f>+assessment!H59</f>
        <v>8.1305690775454207E-5</v>
      </c>
      <c r="F59" s="16">
        <f>+assessment!J59</f>
        <v>4193.7118784655795</v>
      </c>
      <c r="H59" s="40">
        <v>-3153.8599999999997</v>
      </c>
      <c r="J59" s="16">
        <f t="shared" si="1"/>
        <v>1039.8518784655798</v>
      </c>
      <c r="K59" s="16"/>
      <c r="M59" s="50"/>
    </row>
    <row r="60" spans="1:13">
      <c r="A60" t="s">
        <v>90</v>
      </c>
      <c r="B60" t="s">
        <v>91</v>
      </c>
      <c r="D60" s="3">
        <f>+assessment!H60</f>
        <v>2.0150876624305239E-5</v>
      </c>
      <c r="F60" s="16">
        <f>+assessment!J60</f>
        <v>1039.3733803237733</v>
      </c>
      <c r="H60" s="40">
        <v>-781.65</v>
      </c>
      <c r="J60" s="16">
        <f t="shared" si="1"/>
        <v>257.72338032377331</v>
      </c>
      <c r="K60" s="16"/>
      <c r="M60" s="50"/>
    </row>
    <row r="61" spans="1:13">
      <c r="A61" t="s">
        <v>92</v>
      </c>
      <c r="B61" t="s">
        <v>93</v>
      </c>
      <c r="D61" s="3">
        <f>+assessment!H61</f>
        <v>4.0333737161804189E-5</v>
      </c>
      <c r="F61" s="16">
        <f>+assessment!J61</f>
        <v>2080.3964768654519</v>
      </c>
      <c r="H61" s="40">
        <v>-1564.5300000000002</v>
      </c>
      <c r="J61" s="16">
        <f t="shared" si="1"/>
        <v>515.86647686545166</v>
      </c>
      <c r="K61" s="16"/>
      <c r="M61" s="50"/>
    </row>
    <row r="62" spans="1:13">
      <c r="A62" t="s">
        <v>490</v>
      </c>
      <c r="B62" t="s">
        <v>491</v>
      </c>
      <c r="D62" s="3">
        <f>+assessment!H62</f>
        <v>6.108189260571105E-4</v>
      </c>
      <c r="F62" s="16">
        <f>+assessment!J62</f>
        <v>31505.772368034872</v>
      </c>
      <c r="H62" s="40">
        <v>-23693.730000000003</v>
      </c>
      <c r="J62" s="16">
        <f t="shared" si="1"/>
        <v>7812.0423680348686</v>
      </c>
      <c r="K62" s="16"/>
      <c r="M62" s="50"/>
    </row>
    <row r="63" spans="1:13">
      <c r="A63" t="s">
        <v>94</v>
      </c>
      <c r="B63" t="s">
        <v>492</v>
      </c>
      <c r="D63" s="3">
        <f>+assessment!H63</f>
        <v>8.4399187172860289E-5</v>
      </c>
      <c r="F63" s="16">
        <f>+assessment!J63</f>
        <v>4353.2730661765499</v>
      </c>
      <c r="H63" s="40">
        <v>-3273.82</v>
      </c>
      <c r="J63" s="16">
        <f t="shared" si="1"/>
        <v>1079.4530661765498</v>
      </c>
      <c r="K63" s="16"/>
      <c r="M63" s="50"/>
    </row>
    <row r="64" spans="1:13">
      <c r="A64" t="s">
        <v>95</v>
      </c>
      <c r="B64" t="s">
        <v>96</v>
      </c>
      <c r="D64" s="3">
        <f>+assessment!H64</f>
        <v>4.1193243164096293E-4</v>
      </c>
      <c r="F64" s="16">
        <f>+assessment!J64</f>
        <v>21247.294195788916</v>
      </c>
      <c r="H64" s="40">
        <v>-15978.82</v>
      </c>
      <c r="J64" s="16">
        <f t="shared" si="1"/>
        <v>5268.4741957889164</v>
      </c>
      <c r="K64" s="16"/>
      <c r="M64" s="50"/>
    </row>
    <row r="65" spans="1:13">
      <c r="A65" t="s">
        <v>97</v>
      </c>
      <c r="B65" t="s">
        <v>98</v>
      </c>
      <c r="D65" s="3">
        <f>+assessment!H65</f>
        <v>7.3121611207611729E-4</v>
      </c>
      <c r="F65" s="16">
        <f>+assessment!J65</f>
        <v>37715.806429933145</v>
      </c>
      <c r="H65" s="40">
        <v>-28363.95</v>
      </c>
      <c r="J65" s="16">
        <f t="shared" si="1"/>
        <v>9351.8564299331447</v>
      </c>
      <c r="K65" s="16"/>
      <c r="M65" s="50"/>
    </row>
    <row r="66" spans="1:13">
      <c r="A66" t="s">
        <v>99</v>
      </c>
      <c r="B66" t="s">
        <v>100</v>
      </c>
      <c r="D66" s="3">
        <f>+assessment!H66</f>
        <v>2.8750006609317329E-3</v>
      </c>
      <c r="F66" s="16">
        <f>+assessment!J66</f>
        <v>148291.27343181896</v>
      </c>
      <c r="H66" s="40">
        <v>-111521.78000000003</v>
      </c>
      <c r="J66" s="16">
        <f t="shared" si="1"/>
        <v>36769.493431818933</v>
      </c>
      <c r="K66" s="16"/>
      <c r="M66" s="50"/>
    </row>
    <row r="67" spans="1:13">
      <c r="A67" t="s">
        <v>101</v>
      </c>
      <c r="B67" t="s">
        <v>534</v>
      </c>
      <c r="D67" s="3">
        <f>+assessment!H67</f>
        <v>1.7635249495349947E-3</v>
      </c>
      <c r="F67" s="16">
        <f>+assessment!J67</f>
        <v>90961.843608959898</v>
      </c>
      <c r="H67" s="40">
        <v>-68407.189999999988</v>
      </c>
      <c r="J67" s="16">
        <f t="shared" si="1"/>
        <v>22554.65360895991</v>
      </c>
      <c r="K67" s="16"/>
      <c r="M67" s="50"/>
    </row>
    <row r="68" spans="1:13">
      <c r="A68" t="s">
        <v>102</v>
      </c>
      <c r="B68" t="s">
        <v>103</v>
      </c>
      <c r="D68" s="3">
        <f>+assessment!H68</f>
        <v>3.7693814142586321E-5</v>
      </c>
      <c r="F68" s="16">
        <f>+assessment!J68</f>
        <v>1944.2304051140391</v>
      </c>
      <c r="H68" s="40">
        <v>-1462.13</v>
      </c>
      <c r="J68" s="16">
        <f t="shared" si="1"/>
        <v>482.10040511403895</v>
      </c>
      <c r="K68" s="16"/>
      <c r="M68" s="50"/>
    </row>
    <row r="69" spans="1:13">
      <c r="A69" t="s">
        <v>104</v>
      </c>
      <c r="B69" t="s">
        <v>105</v>
      </c>
      <c r="D69" s="3">
        <f>+assessment!H69</f>
        <v>6.0372502150064589E-5</v>
      </c>
      <c r="F69" s="16">
        <f>+assessment!J69</f>
        <v>3113.9871881618637</v>
      </c>
      <c r="H69" s="40">
        <v>-2341.83</v>
      </c>
      <c r="J69" s="16">
        <f t="shared" si="1"/>
        <v>772.15718816186381</v>
      </c>
      <c r="K69" s="16"/>
      <c r="M69" s="50"/>
    </row>
    <row r="70" spans="1:13">
      <c r="A70" t="s">
        <v>106</v>
      </c>
      <c r="B70" t="s">
        <v>107</v>
      </c>
      <c r="D70" s="3">
        <f>+assessment!H70</f>
        <v>2.958816018633102E-3</v>
      </c>
      <c r="F70" s="16">
        <f>+assessment!J70</f>
        <v>152614.43282985938</v>
      </c>
      <c r="H70" s="40">
        <v>-114773.87</v>
      </c>
      <c r="J70" s="16">
        <f t="shared" si="1"/>
        <v>37840.56282985938</v>
      </c>
      <c r="K70" s="16"/>
      <c r="M70" s="50"/>
    </row>
    <row r="71" spans="1:13">
      <c r="A71" t="s">
        <v>108</v>
      </c>
      <c r="B71" t="s">
        <v>109</v>
      </c>
      <c r="D71" s="3">
        <f>+assessment!H71</f>
        <v>3.9638068115628903E-5</v>
      </c>
      <c r="F71" s="16">
        <f>+assessment!J71</f>
        <v>2044.5141725076508</v>
      </c>
      <c r="H71" s="40">
        <v>-1537.59</v>
      </c>
      <c r="J71" s="16">
        <f t="shared" si="1"/>
        <v>506.92417250765084</v>
      </c>
      <c r="K71" s="16"/>
      <c r="M71" s="50"/>
    </row>
    <row r="72" spans="1:13">
      <c r="A72" t="s">
        <v>110</v>
      </c>
      <c r="B72" t="s">
        <v>111</v>
      </c>
      <c r="D72" s="3">
        <f>+assessment!H72</f>
        <v>4.7329490483238789E-5</v>
      </c>
      <c r="F72" s="16">
        <f>+assessment!J72</f>
        <v>2441.2343656171747</v>
      </c>
      <c r="H72" s="40">
        <v>-1835.9</v>
      </c>
      <c r="J72" s="16">
        <f t="shared" si="1"/>
        <v>605.33436561717463</v>
      </c>
      <c r="K72" s="16"/>
      <c r="M72" s="50"/>
    </row>
    <row r="73" spans="1:13">
      <c r="A73" t="s">
        <v>112</v>
      </c>
      <c r="B73" t="s">
        <v>113</v>
      </c>
      <c r="D73" s="3">
        <f>+assessment!H73</f>
        <v>6.9432475603155016E-6</v>
      </c>
      <c r="F73" s="16">
        <f>+assessment!J73</f>
        <v>358.12966461645084</v>
      </c>
      <c r="H73" s="40">
        <v>-269.33</v>
      </c>
      <c r="J73" s="16">
        <f t="shared" si="1"/>
        <v>88.799664616450855</v>
      </c>
      <c r="K73" s="16"/>
      <c r="M73" s="50"/>
    </row>
    <row r="74" spans="1:13">
      <c r="A74" t="s">
        <v>114</v>
      </c>
      <c r="B74" t="s">
        <v>115</v>
      </c>
      <c r="D74" s="3">
        <f>+assessment!H74</f>
        <v>1.207794589707014E-4</v>
      </c>
      <c r="F74" s="16">
        <f>+assessment!J74</f>
        <v>6229.7515331238137</v>
      </c>
      <c r="H74" s="40">
        <v>-4685</v>
      </c>
      <c r="J74" s="16">
        <f t="shared" si="1"/>
        <v>1544.7515331238137</v>
      </c>
      <c r="K74" s="16"/>
      <c r="M74" s="50"/>
    </row>
    <row r="75" spans="1:13">
      <c r="A75" t="s">
        <v>116</v>
      </c>
      <c r="B75" t="s">
        <v>117</v>
      </c>
      <c r="D75" s="3">
        <f>+assessment!H75</f>
        <v>5.0975873184502608E-5</v>
      </c>
      <c r="F75" s="16">
        <f>+assessment!J75</f>
        <v>2629.3131864460115</v>
      </c>
      <c r="H75" s="40">
        <v>-2636.51</v>
      </c>
      <c r="J75" s="16">
        <f t="shared" si="1"/>
        <v>-7.1968135539887044</v>
      </c>
      <c r="K75" s="16"/>
      <c r="M75" s="50"/>
    </row>
    <row r="76" spans="1:13">
      <c r="A76" t="s">
        <v>118</v>
      </c>
      <c r="B76" t="s">
        <v>119</v>
      </c>
      <c r="D76" s="3">
        <f>+assessment!H76</f>
        <v>3.1654342261121812E-4</v>
      </c>
      <c r="F76" s="16">
        <f>+assessment!J76</f>
        <v>16327.170937161249</v>
      </c>
      <c r="H76" s="40">
        <v>-12278.71</v>
      </c>
      <c r="J76" s="16">
        <f t="shared" si="1"/>
        <v>4048.4609371612496</v>
      </c>
      <c r="K76" s="16"/>
      <c r="M76" s="50"/>
    </row>
    <row r="77" spans="1:13">
      <c r="A77" t="s">
        <v>120</v>
      </c>
      <c r="B77" t="s">
        <v>121</v>
      </c>
      <c r="D77" s="3">
        <f>+assessment!H77</f>
        <v>3.0768244732820382E-5</v>
      </c>
      <c r="F77" s="16">
        <f>+assessment!J77</f>
        <v>1587.0125717512424</v>
      </c>
      <c r="H77" s="40">
        <v>-1193.49</v>
      </c>
      <c r="J77" s="16">
        <f t="shared" si="1"/>
        <v>393.52257175124237</v>
      </c>
      <c r="K77" s="16"/>
      <c r="M77" s="50"/>
    </row>
    <row r="78" spans="1:13">
      <c r="A78" t="s">
        <v>122</v>
      </c>
      <c r="B78" t="s">
        <v>123</v>
      </c>
      <c r="D78" s="3">
        <f>+assessment!H78</f>
        <v>6.854712577237909E-5</v>
      </c>
      <c r="F78" s="16">
        <f>+assessment!J78</f>
        <v>3535.6306901101334</v>
      </c>
      <c r="H78" s="40">
        <v>-2658.92</v>
      </c>
      <c r="J78" s="16">
        <f t="shared" si="1"/>
        <v>876.71069011013333</v>
      </c>
      <c r="K78" s="16"/>
      <c r="M78" s="50"/>
    </row>
    <row r="79" spans="1:13">
      <c r="A79" t="s">
        <v>124</v>
      </c>
      <c r="B79" t="s">
        <v>499</v>
      </c>
      <c r="D79" s="3">
        <f>+assessment!H79</f>
        <v>3.7006361741436411E-5</v>
      </c>
      <c r="F79" s="16">
        <f>+assessment!J79</f>
        <v>1908.77191170373</v>
      </c>
      <c r="H79" s="40">
        <v>-1435.47</v>
      </c>
      <c r="J79" s="16">
        <f t="shared" si="1"/>
        <v>473.30191170372996</v>
      </c>
      <c r="K79" s="16"/>
      <c r="M79" s="50"/>
    </row>
    <row r="80" spans="1:13">
      <c r="A80" t="s">
        <v>125</v>
      </c>
      <c r="B80" t="s">
        <v>126</v>
      </c>
      <c r="D80" s="3">
        <f>+assessment!H80</f>
        <v>3.2979216900798017E-4</v>
      </c>
      <c r="F80" s="16">
        <f>+assessment!J80</f>
        <v>17010.535466863428</v>
      </c>
      <c r="H80" s="40">
        <v>-12793.13</v>
      </c>
      <c r="J80" s="16">
        <f t="shared" si="1"/>
        <v>4217.405466863429</v>
      </c>
      <c r="K80" s="16"/>
      <c r="M80" s="50"/>
    </row>
    <row r="81" spans="1:13">
      <c r="A81" t="s">
        <v>482</v>
      </c>
      <c r="B81" t="s">
        <v>535</v>
      </c>
      <c r="D81" s="3">
        <f>+assessment!H81</f>
        <v>1.0306738488939375E-5</v>
      </c>
      <c r="F81" s="16">
        <f>+assessment!J81</f>
        <v>531.61705185773292</v>
      </c>
      <c r="H81" s="40">
        <v>-399.8</v>
      </c>
      <c r="J81" s="16">
        <f t="shared" si="1"/>
        <v>131.81705185773291</v>
      </c>
      <c r="K81" s="16"/>
      <c r="M81" s="50"/>
    </row>
    <row r="82" spans="1:13">
      <c r="A82" t="s">
        <v>127</v>
      </c>
      <c r="B82" t="s">
        <v>493</v>
      </c>
      <c r="D82" s="3">
        <f>+assessment!H82</f>
        <v>3.8568628150306131E-4</v>
      </c>
      <c r="F82" s="16">
        <f>+assessment!J82</f>
        <v>19893.529280350325</v>
      </c>
      <c r="H82" s="40">
        <v>-14960.699999999999</v>
      </c>
      <c r="J82" s="16">
        <f t="shared" si="1"/>
        <v>4932.8292803503264</v>
      </c>
      <c r="K82" s="16"/>
      <c r="M82" s="50"/>
    </row>
    <row r="83" spans="1:13">
      <c r="A83" t="s">
        <v>128</v>
      </c>
      <c r="B83" t="s">
        <v>129</v>
      </c>
      <c r="D83" s="3">
        <f>+assessment!H83</f>
        <v>6.903837848013368E-5</v>
      </c>
      <c r="F83" s="16">
        <f>+assessment!J83</f>
        <v>3560.9692893667152</v>
      </c>
      <c r="H83" s="40">
        <v>-2677.98</v>
      </c>
      <c r="J83" s="16">
        <f t="shared" si="1"/>
        <v>882.98928936671518</v>
      </c>
      <c r="K83" s="16"/>
      <c r="M83" s="50"/>
    </row>
    <row r="84" spans="1:13">
      <c r="A84" t="s">
        <v>130</v>
      </c>
      <c r="B84" t="s">
        <v>536</v>
      </c>
      <c r="D84" s="3">
        <f>+assessment!H84</f>
        <v>1.7351728713521899E-4</v>
      </c>
      <c r="F84" s="16">
        <f>+assessment!J84</f>
        <v>8949.9455848393591</v>
      </c>
      <c r="H84" s="40">
        <v>-6730.77</v>
      </c>
      <c r="J84" s="16">
        <f t="shared" si="1"/>
        <v>2219.1755848393586</v>
      </c>
      <c r="K84" s="16"/>
      <c r="M84" s="50"/>
    </row>
    <row r="85" spans="1:13">
      <c r="A85" t="s">
        <v>131</v>
      </c>
      <c r="B85" t="s">
        <v>132</v>
      </c>
      <c r="D85" s="3">
        <f>+assessment!H85</f>
        <v>1.6955420916996115E-5</v>
      </c>
      <c r="F85" s="16">
        <f>+assessment!J85</f>
        <v>874.55317611614169</v>
      </c>
      <c r="H85" s="40">
        <v>-657.7</v>
      </c>
      <c r="J85" s="16">
        <f t="shared" si="1"/>
        <v>216.85317611614164</v>
      </c>
      <c r="K85" s="16"/>
      <c r="M85" s="50"/>
    </row>
    <row r="86" spans="1:13">
      <c r="A86" t="s">
        <v>133</v>
      </c>
      <c r="B86" t="s">
        <v>134</v>
      </c>
      <c r="D86" s="3">
        <f>+assessment!H86</f>
        <v>1.5490338874830011E-5</v>
      </c>
      <c r="F86" s="16">
        <f>+assessment!J86</f>
        <v>798.98488680503874</v>
      </c>
      <c r="H86" s="40">
        <v>-600.87</v>
      </c>
      <c r="J86" s="16">
        <f t="shared" si="1"/>
        <v>198.11488680503874</v>
      </c>
      <c r="K86" s="16"/>
      <c r="M86" s="50"/>
    </row>
    <row r="87" spans="1:13">
      <c r="A87" t="s">
        <v>135</v>
      </c>
      <c r="B87" t="s">
        <v>136</v>
      </c>
      <c r="D87" s="3">
        <f>+assessment!H87</f>
        <v>8.5561057623487866E-6</v>
      </c>
      <c r="F87" s="16">
        <f>+assessment!J87</f>
        <v>441.32018345513467</v>
      </c>
      <c r="H87" s="40">
        <v>-331.89</v>
      </c>
      <c r="J87" s="16">
        <f t="shared" ref="J87:J148" si="2">SUM(F87:H87)</f>
        <v>109.43018345513468</v>
      </c>
      <c r="K87" s="16"/>
      <c r="M87" s="50"/>
    </row>
    <row r="88" spans="1:13">
      <c r="A88" t="s">
        <v>137</v>
      </c>
      <c r="B88" t="s">
        <v>138</v>
      </c>
      <c r="D88" s="3">
        <f>+assessment!H88</f>
        <v>1.5656984383855585E-4</v>
      </c>
      <c r="F88" s="16">
        <f>+assessment!J88</f>
        <v>8075.8038908818853</v>
      </c>
      <c r="H88" s="40">
        <v>-6073.42</v>
      </c>
      <c r="J88" s="16">
        <f t="shared" si="2"/>
        <v>2002.3838908818852</v>
      </c>
      <c r="K88" s="16"/>
      <c r="M88" s="50"/>
    </row>
    <row r="89" spans="1:13">
      <c r="A89" t="s">
        <v>139</v>
      </c>
      <c r="B89" t="s">
        <v>140</v>
      </c>
      <c r="D89" s="3">
        <f>+assessment!H89</f>
        <v>1.7296363403886646E-5</v>
      </c>
      <c r="F89" s="16">
        <f>+assessment!J89</f>
        <v>892.13884009008416</v>
      </c>
      <c r="H89" s="40">
        <v>-670.92000000000007</v>
      </c>
      <c r="J89" s="16">
        <f t="shared" si="2"/>
        <v>221.21884009008409</v>
      </c>
      <c r="K89" s="16"/>
      <c r="M89" s="50"/>
    </row>
    <row r="90" spans="1:13">
      <c r="A90" s="50" t="s">
        <v>141</v>
      </c>
      <c r="B90" s="50" t="s">
        <v>142</v>
      </c>
      <c r="D90" s="3">
        <f>+assessment!H90</f>
        <v>0.27290155985601061</v>
      </c>
      <c r="F90" s="16">
        <f>+assessment!J90</f>
        <v>14076142.792768046</v>
      </c>
      <c r="H90" s="40">
        <v>-10354664.640000001</v>
      </c>
      <c r="J90" s="16">
        <f>SUM(F90:H90)</f>
        <v>3721478.1527680457</v>
      </c>
      <c r="K90" s="16"/>
      <c r="M90" s="50"/>
    </row>
    <row r="91" spans="1:13">
      <c r="A91" t="s">
        <v>143</v>
      </c>
      <c r="B91" t="s">
        <v>485</v>
      </c>
      <c r="D91" s="3">
        <f>+assessment!H91</f>
        <v>3.9408342146173919E-2</v>
      </c>
      <c r="F91" s="16">
        <f>+assessment!J91</f>
        <v>2032665.0077357029</v>
      </c>
      <c r="H91" s="40">
        <v>-1629553.09</v>
      </c>
      <c r="J91" s="16">
        <f t="shared" si="2"/>
        <v>403111.91773570282</v>
      </c>
      <c r="K91" s="16"/>
      <c r="M91" s="50"/>
    </row>
    <row r="92" spans="1:13">
      <c r="A92" t="s">
        <v>144</v>
      </c>
      <c r="B92" t="s">
        <v>145</v>
      </c>
      <c r="D92" s="3">
        <f>+assessment!H92</f>
        <v>2.5311020236826556E-4</v>
      </c>
      <c r="F92" s="16">
        <f>+assessment!J92</f>
        <v>13055.313251862501</v>
      </c>
      <c r="H92" s="40">
        <v>-9818.31</v>
      </c>
      <c r="J92" s="16">
        <f t="shared" si="2"/>
        <v>3237.0032518625012</v>
      </c>
      <c r="K92" s="16"/>
      <c r="M92" s="50"/>
    </row>
    <row r="93" spans="1:13">
      <c r="A93" t="s">
        <v>484</v>
      </c>
      <c r="B93" t="s">
        <v>489</v>
      </c>
      <c r="D93" s="3">
        <f>+assessment!H93</f>
        <v>1.0784676828782565E-2</v>
      </c>
      <c r="F93" s="16">
        <f>+assessment!J93</f>
        <v>556268.901855662</v>
      </c>
      <c r="H93" s="40">
        <v>-548042.74000000011</v>
      </c>
      <c r="J93" s="16">
        <f t="shared" si="2"/>
        <v>8226.1618556618923</v>
      </c>
      <c r="K93" s="16"/>
      <c r="M93" s="50"/>
    </row>
    <row r="94" spans="1:13">
      <c r="A94" t="s">
        <v>506</v>
      </c>
      <c r="B94" t="s">
        <v>547</v>
      </c>
      <c r="D94" s="3">
        <f>+assessment!H94</f>
        <v>6.7024270568581321E-5</v>
      </c>
      <c r="F94" s="16">
        <f>+assessment!J94</f>
        <v>3457.0824864550227</v>
      </c>
      <c r="H94" s="40">
        <v>-2599.89</v>
      </c>
      <c r="J94" s="16">
        <f t="shared" si="2"/>
        <v>857.19248645502284</v>
      </c>
      <c r="K94" s="16"/>
      <c r="M94" s="50"/>
    </row>
    <row r="95" spans="1:13">
      <c r="A95" t="s">
        <v>146</v>
      </c>
      <c r="B95" t="s">
        <v>147</v>
      </c>
      <c r="D95" s="3">
        <f>+assessment!H95</f>
        <v>1.5263654802196102E-3</v>
      </c>
      <c r="F95" s="16">
        <f>+assessment!J95</f>
        <v>78729.262173728072</v>
      </c>
      <c r="H95" s="40">
        <v>-59208.72</v>
      </c>
      <c r="J95" s="16">
        <f t="shared" si="2"/>
        <v>19520.54217372807</v>
      </c>
      <c r="K95" s="16"/>
      <c r="M95" s="50"/>
    </row>
    <row r="96" spans="1:13">
      <c r="A96" t="s">
        <v>148</v>
      </c>
      <c r="B96" t="s">
        <v>149</v>
      </c>
      <c r="D96" s="3">
        <f>+assessment!H96</f>
        <v>1.2059144303181511E-3</v>
      </c>
      <c r="F96" s="16">
        <f>+assessment!J96</f>
        <v>62200.537534391682</v>
      </c>
      <c r="H96" s="40">
        <v>-46778.38</v>
      </c>
      <c r="J96" s="16">
        <f t="shared" si="2"/>
        <v>15422.157534391685</v>
      </c>
      <c r="K96" s="16"/>
      <c r="M96" s="50"/>
    </row>
    <row r="97" spans="1:13">
      <c r="A97" t="s">
        <v>150</v>
      </c>
      <c r="B97" t="s">
        <v>151</v>
      </c>
      <c r="D97" s="3">
        <f>+assessment!H97</f>
        <v>2.3642445782982083E-5</v>
      </c>
      <c r="F97" s="16">
        <f>+assessment!J97</f>
        <v>1219.4669865101644</v>
      </c>
      <c r="H97" s="40">
        <v>-917.07999999999993</v>
      </c>
      <c r="J97" s="16">
        <f t="shared" si="2"/>
        <v>302.38698651016443</v>
      </c>
      <c r="K97" s="16"/>
      <c r="M97" s="50"/>
    </row>
    <row r="98" spans="1:13">
      <c r="A98" t="s">
        <v>152</v>
      </c>
      <c r="B98" t="s">
        <v>153</v>
      </c>
      <c r="D98" s="3">
        <f>+assessment!H98</f>
        <v>8.5060454876698609E-4</v>
      </c>
      <c r="F98" s="16">
        <f>+assessment!J98</f>
        <v>43873.80964381255</v>
      </c>
      <c r="H98" s="40">
        <v>-32994.910000000003</v>
      </c>
      <c r="J98" s="16">
        <f t="shared" si="2"/>
        <v>10878.899643812547</v>
      </c>
      <c r="K98" s="16"/>
      <c r="M98" s="50"/>
    </row>
    <row r="99" spans="1:13">
      <c r="A99" t="s">
        <v>154</v>
      </c>
      <c r="B99" t="s">
        <v>479</v>
      </c>
      <c r="D99" s="3">
        <f>+assessment!H99</f>
        <v>6.4522906140238208E-3</v>
      </c>
      <c r="F99" s="16">
        <f>+assessment!J99</f>
        <v>332806.32060643734</v>
      </c>
      <c r="H99" s="40">
        <v>-250284.09</v>
      </c>
      <c r="J99" s="16">
        <f t="shared" si="2"/>
        <v>82522.230606437341</v>
      </c>
      <c r="K99" s="16"/>
      <c r="M99" s="50"/>
    </row>
    <row r="100" spans="1:13">
      <c r="A100" t="s">
        <v>155</v>
      </c>
      <c r="B100" t="s">
        <v>537</v>
      </c>
      <c r="D100" s="3">
        <f>+assessment!H100</f>
        <v>1.2718682287327771E-4</v>
      </c>
      <c r="F100" s="16">
        <f>+assessment!J100</f>
        <v>6560.2405536537026</v>
      </c>
      <c r="H100" s="40">
        <v>-4933.6600000000008</v>
      </c>
      <c r="J100" s="16">
        <f t="shared" si="2"/>
        <v>1626.5805536537018</v>
      </c>
      <c r="K100" s="16"/>
      <c r="M100" s="50"/>
    </row>
    <row r="101" spans="1:13">
      <c r="A101" t="s">
        <v>509</v>
      </c>
      <c r="B101" t="s">
        <v>510</v>
      </c>
      <c r="D101" s="3">
        <f>+assessment!H101</f>
        <v>1.4907346727532792E-3</v>
      </c>
      <c r="F101" s="16">
        <f>+assessment!J101</f>
        <v>76891.440748367473</v>
      </c>
      <c r="H101" s="40">
        <v>-57825.94</v>
      </c>
      <c r="J101" s="16">
        <f t="shared" si="2"/>
        <v>19065.500748367471</v>
      </c>
      <c r="K101" s="16"/>
      <c r="M101" s="50"/>
    </row>
    <row r="102" spans="1:13">
      <c r="A102" t="s">
        <v>553</v>
      </c>
      <c r="B102" t="s">
        <v>554</v>
      </c>
      <c r="D102" s="3">
        <f>+assessment!H102</f>
        <v>7.4495342103975931E-2</v>
      </c>
      <c r="F102" s="16">
        <f>+assessment!J102</f>
        <v>3842437.0802605194</v>
      </c>
      <c r="H102" s="40">
        <v>-2889717.79</v>
      </c>
      <c r="J102" s="16">
        <f t="shared" si="2"/>
        <v>952719.29026051937</v>
      </c>
      <c r="K102" s="16"/>
      <c r="M102" s="50"/>
    </row>
    <row r="103" spans="1:13">
      <c r="A103" t="s">
        <v>156</v>
      </c>
      <c r="B103" t="s">
        <v>157</v>
      </c>
      <c r="D103" s="3">
        <f>+assessment!H103</f>
        <v>0.2778626651854128</v>
      </c>
      <c r="F103" s="16">
        <f>+assessment!J103</f>
        <v>14332034.430263534</v>
      </c>
      <c r="H103" s="40">
        <v>-10778434.130000001</v>
      </c>
      <c r="J103" s="16">
        <f t="shared" si="2"/>
        <v>3553600.3002635334</v>
      </c>
      <c r="K103" s="16"/>
      <c r="M103" s="50"/>
    </row>
    <row r="104" spans="1:13">
      <c r="A104" t="s">
        <v>514</v>
      </c>
      <c r="B104" t="s">
        <v>513</v>
      </c>
      <c r="D104" s="3">
        <f>+assessment!H104</f>
        <v>3.6388875906805999E-3</v>
      </c>
      <c r="F104" s="16">
        <f>+assessment!J104</f>
        <v>187692.22631148569</v>
      </c>
      <c r="H104" s="40">
        <v>-141153.1</v>
      </c>
      <c r="J104" s="16">
        <f t="shared" si="2"/>
        <v>46539.126311485685</v>
      </c>
      <c r="K104" s="16"/>
      <c r="M104" s="50"/>
    </row>
    <row r="105" spans="1:13">
      <c r="A105" t="s">
        <v>158</v>
      </c>
      <c r="B105" t="s">
        <v>159</v>
      </c>
      <c r="D105" s="3">
        <f>+assessment!H105</f>
        <v>1.636748676494012E-3</v>
      </c>
      <c r="F105" s="16">
        <f>+assessment!J105</f>
        <v>84422.779035633983</v>
      </c>
      <c r="H105" s="40">
        <v>-63489.499999999993</v>
      </c>
      <c r="J105" s="16">
        <f t="shared" si="2"/>
        <v>20933.27903563399</v>
      </c>
      <c r="K105" s="16"/>
      <c r="M105" s="50"/>
    </row>
    <row r="106" spans="1:13">
      <c r="A106" t="s">
        <v>160</v>
      </c>
      <c r="B106" t="s">
        <v>161</v>
      </c>
      <c r="D106" s="3">
        <f>+assessment!H106</f>
        <v>4.4259491031088723E-3</v>
      </c>
      <c r="F106" s="16">
        <f>+assessment!J106</f>
        <v>228288.51400393341</v>
      </c>
      <c r="H106" s="40">
        <v>-171683.83000000002</v>
      </c>
      <c r="J106" s="16">
        <f t="shared" si="2"/>
        <v>56604.684003933391</v>
      </c>
      <c r="K106" s="16"/>
      <c r="M106" s="50"/>
    </row>
    <row r="107" spans="1:13">
      <c r="A107" t="s">
        <v>162</v>
      </c>
      <c r="B107" t="s">
        <v>163</v>
      </c>
      <c r="D107" s="3">
        <f>+assessment!H107</f>
        <v>5.8918661213987035E-3</v>
      </c>
      <c r="F107" s="16">
        <f>+assessment!J107</f>
        <v>303899.87101736956</v>
      </c>
      <c r="H107" s="40">
        <v>-228548.24999999997</v>
      </c>
      <c r="J107" s="16">
        <f t="shared" si="2"/>
        <v>75351.621017369587</v>
      </c>
      <c r="K107" s="16"/>
      <c r="M107" s="50"/>
    </row>
    <row r="108" spans="1:13">
      <c r="A108" t="s">
        <v>164</v>
      </c>
      <c r="B108" t="s">
        <v>165</v>
      </c>
      <c r="D108" s="3">
        <f>+assessment!H108</f>
        <v>2.0593670518006091E-2</v>
      </c>
      <c r="F108" s="16">
        <f>+assessment!J108</f>
        <v>1062212.4952001686</v>
      </c>
      <c r="H108" s="40">
        <v>-798833.28</v>
      </c>
      <c r="J108" s="16">
        <f t="shared" si="2"/>
        <v>263379.21520016855</v>
      </c>
      <c r="K108" s="16"/>
      <c r="M108" s="50"/>
    </row>
    <row r="109" spans="1:13">
      <c r="A109" t="s">
        <v>166</v>
      </c>
      <c r="B109" t="s">
        <v>167</v>
      </c>
      <c r="D109" s="3">
        <f>+assessment!H109</f>
        <v>4.6793807650180614E-3</v>
      </c>
      <c r="F109" s="16">
        <f>+assessment!J109</f>
        <v>241360.40799795993</v>
      </c>
      <c r="H109" s="40">
        <v>-181515.84</v>
      </c>
      <c r="J109" s="16">
        <f t="shared" si="2"/>
        <v>59844.567997959937</v>
      </c>
      <c r="K109" s="16"/>
      <c r="M109" s="50"/>
    </row>
    <row r="110" spans="1:13">
      <c r="A110" t="s">
        <v>168</v>
      </c>
      <c r="B110" t="s">
        <v>169</v>
      </c>
      <c r="D110" s="3">
        <f>+assessment!H110</f>
        <v>1.8944010678435822E-2</v>
      </c>
      <c r="F110" s="16">
        <f>+assessment!J110</f>
        <v>977123.7640344773</v>
      </c>
      <c r="H110" s="40">
        <v>-734845.54</v>
      </c>
      <c r="J110" s="16">
        <f t="shared" si="2"/>
        <v>242278.22403447726</v>
      </c>
      <c r="K110" s="16"/>
      <c r="M110" s="50"/>
    </row>
    <row r="111" spans="1:13">
      <c r="A111" t="s">
        <v>170</v>
      </c>
      <c r="B111" t="s">
        <v>171</v>
      </c>
      <c r="D111" s="3">
        <f>+assessment!H111</f>
        <v>3.1425787397306583E-3</v>
      </c>
      <c r="F111" s="16">
        <f>+assessment!J111</f>
        <v>162092.83340595575</v>
      </c>
      <c r="H111" s="40">
        <v>-121901.89000000001</v>
      </c>
      <c r="J111" s="16">
        <f t="shared" si="2"/>
        <v>40190.943405955739</v>
      </c>
      <c r="K111" s="16"/>
      <c r="M111" s="50"/>
    </row>
    <row r="112" spans="1:13">
      <c r="A112" t="s">
        <v>172</v>
      </c>
      <c r="B112" t="s">
        <v>173</v>
      </c>
      <c r="D112" s="3">
        <f>+assessment!H112</f>
        <v>2.5015380379502881E-3</v>
      </c>
      <c r="F112" s="16">
        <f>+assessment!J112</f>
        <v>129028.23509806159</v>
      </c>
      <c r="H112" s="40">
        <v>-97035.430000000008</v>
      </c>
      <c r="J112" s="16">
        <f t="shared" si="2"/>
        <v>31992.805098061581</v>
      </c>
      <c r="K112" s="16"/>
      <c r="M112" s="50"/>
    </row>
    <row r="113" spans="1:13">
      <c r="A113" t="s">
        <v>174</v>
      </c>
      <c r="B113" t="s">
        <v>175</v>
      </c>
      <c r="D113" s="3">
        <f>+assessment!H113</f>
        <v>1.8109977948252611E-3</v>
      </c>
      <c r="F113" s="16">
        <f>+assessment!J113</f>
        <v>93410.472152663919</v>
      </c>
      <c r="H113" s="40">
        <v>-70249.09</v>
      </c>
      <c r="J113" s="16">
        <f t="shared" si="2"/>
        <v>23161.382152663922</v>
      </c>
      <c r="K113" s="16"/>
      <c r="M113" s="50"/>
    </row>
    <row r="114" spans="1:13">
      <c r="A114" t="s">
        <v>176</v>
      </c>
      <c r="B114" s="36" t="s">
        <v>563</v>
      </c>
      <c r="D114" s="3">
        <f>+assessment!H114</f>
        <v>1.1283095694382026E-2</v>
      </c>
      <c r="F114" s="16">
        <f>+assessment!J114</f>
        <v>581977.12839159381</v>
      </c>
      <c r="H114" s="40">
        <v>-437674.72</v>
      </c>
      <c r="J114" s="16">
        <f t="shared" si="2"/>
        <v>144302.40839159384</v>
      </c>
      <c r="K114" s="16"/>
      <c r="M114" s="50"/>
    </row>
    <row r="115" spans="1:13">
      <c r="A115" t="s">
        <v>177</v>
      </c>
      <c r="B115" t="s">
        <v>178</v>
      </c>
      <c r="D115" s="3">
        <f>+assessment!H115</f>
        <v>1.1443628287498127E-2</v>
      </c>
      <c r="F115" s="16">
        <f>+assessment!J115</f>
        <v>590257.32915258559</v>
      </c>
      <c r="H115" s="40">
        <v>-443903.2</v>
      </c>
      <c r="J115" s="16">
        <f t="shared" si="2"/>
        <v>146354.12915258558</v>
      </c>
      <c r="K115" s="16"/>
      <c r="M115" s="50"/>
    </row>
    <row r="116" spans="1:13">
      <c r="A116" t="s">
        <v>179</v>
      </c>
      <c r="B116" t="s">
        <v>180</v>
      </c>
      <c r="D116" s="3">
        <f>+assessment!H116</f>
        <v>6.1333060317428321E-3</v>
      </c>
      <c r="F116" s="16">
        <f>+assessment!J116</f>
        <v>316353.23572393344</v>
      </c>
      <c r="H116" s="40">
        <v>-237911.49</v>
      </c>
      <c r="J116" s="16">
        <f t="shared" si="2"/>
        <v>78441.745723933447</v>
      </c>
      <c r="K116" s="16"/>
      <c r="M116" s="50"/>
    </row>
    <row r="117" spans="1:13">
      <c r="A117" t="s">
        <v>181</v>
      </c>
      <c r="B117" s="36" t="s">
        <v>558</v>
      </c>
      <c r="D117" s="3">
        <f>+assessment!H117</f>
        <v>1.3056652092057853E-2</v>
      </c>
      <c r="F117" s="16">
        <f>+assessment!J117</f>
        <v>673456.38969696814</v>
      </c>
      <c r="H117" s="40">
        <v>-506471.42</v>
      </c>
      <c r="J117" s="16">
        <f t="shared" si="2"/>
        <v>166984.96969696815</v>
      </c>
      <c r="K117" s="16"/>
      <c r="M117" s="50"/>
    </row>
    <row r="118" spans="1:13">
      <c r="A118" t="s">
        <v>182</v>
      </c>
      <c r="B118" t="s">
        <v>183</v>
      </c>
      <c r="D118" s="3">
        <f>+assessment!H118</f>
        <v>5.9544541280535431E-3</v>
      </c>
      <c r="F118" s="16">
        <f>+assessment!J118</f>
        <v>307128.13295641111</v>
      </c>
      <c r="H118" s="40">
        <v>-230974.75</v>
      </c>
      <c r="J118" s="16">
        <f t="shared" si="2"/>
        <v>76153.382956411107</v>
      </c>
      <c r="K118" s="16"/>
      <c r="M118" s="50"/>
    </row>
    <row r="119" spans="1:13">
      <c r="A119" t="s">
        <v>184</v>
      </c>
      <c r="B119" t="s">
        <v>185</v>
      </c>
      <c r="D119" s="3">
        <f>+assessment!H119</f>
        <v>1.5640597325651154E-3</v>
      </c>
      <c r="F119" s="16">
        <f>+assessment!J119</f>
        <v>80673.515181156516</v>
      </c>
      <c r="H119" s="40">
        <v>-60670.310000000005</v>
      </c>
      <c r="J119" s="16">
        <f t="shared" si="2"/>
        <v>20003.205181156511</v>
      </c>
      <c r="K119" s="16"/>
      <c r="M119" s="50"/>
    </row>
    <row r="120" spans="1:13">
      <c r="A120" t="s">
        <v>186</v>
      </c>
      <c r="B120" t="s">
        <v>539</v>
      </c>
      <c r="D120" s="3">
        <f>+assessment!H120</f>
        <v>7.1884179205567545E-5</v>
      </c>
      <c r="F120" s="16">
        <f>+assessment!J120</f>
        <v>3707.7544429294339</v>
      </c>
      <c r="H120" s="40">
        <v>-2788.37</v>
      </c>
      <c r="J120" s="16">
        <f t="shared" si="2"/>
        <v>919.38444292943404</v>
      </c>
      <c r="K120" s="16"/>
      <c r="M120" s="50"/>
    </row>
    <row r="121" spans="1:13">
      <c r="A121" t="s">
        <v>187</v>
      </c>
      <c r="B121" t="s">
        <v>188</v>
      </c>
      <c r="D121" s="3">
        <f>+assessment!H121</f>
        <v>3.2953562863875601E-3</v>
      </c>
      <c r="F121" s="16">
        <f>+assessment!J121</f>
        <v>169973.03227109232</v>
      </c>
      <c r="H121" s="40">
        <v>-127827.97</v>
      </c>
      <c r="J121" s="16">
        <f t="shared" si="2"/>
        <v>42145.06227109232</v>
      </c>
      <c r="K121" s="16"/>
      <c r="M121" s="50"/>
    </row>
    <row r="122" spans="1:13">
      <c r="A122" t="s">
        <v>189</v>
      </c>
      <c r="B122" t="s">
        <v>190</v>
      </c>
      <c r="D122" s="3">
        <f>+assessment!H122</f>
        <v>4.251457099974207E-3</v>
      </c>
      <c r="F122" s="16">
        <f>+assessment!J122</f>
        <v>219288.29299524581</v>
      </c>
      <c r="H122" s="40">
        <v>-164914.21</v>
      </c>
      <c r="J122" s="16">
        <f t="shared" si="2"/>
        <v>54374.082995245815</v>
      </c>
      <c r="K122" s="16"/>
      <c r="M122" s="50"/>
    </row>
    <row r="123" spans="1:13">
      <c r="A123" t="s">
        <v>191</v>
      </c>
      <c r="B123" t="s">
        <v>540</v>
      </c>
      <c r="D123" s="3">
        <f>+assessment!H123</f>
        <v>1.0208689942268724E-3</v>
      </c>
      <c r="F123" s="16">
        <f>+assessment!J123</f>
        <v>52655.975081376797</v>
      </c>
      <c r="H123" s="40">
        <v>-39599.86</v>
      </c>
      <c r="J123" s="16">
        <f t="shared" si="2"/>
        <v>13056.115081376796</v>
      </c>
      <c r="K123" s="16"/>
      <c r="M123" s="50"/>
    </row>
    <row r="124" spans="1:13">
      <c r="A124" t="s">
        <v>480</v>
      </c>
      <c r="B124" t="s">
        <v>481</v>
      </c>
      <c r="D124" s="3">
        <f>+assessment!H124</f>
        <v>1.169975671573298E-3</v>
      </c>
      <c r="F124" s="16">
        <f>+assessment!J124</f>
        <v>60346.83211711848</v>
      </c>
      <c r="H124" s="40">
        <v>-45383.39</v>
      </c>
      <c r="J124" s="16">
        <f t="shared" si="2"/>
        <v>14963.44211711848</v>
      </c>
      <c r="K124" s="16"/>
      <c r="M124" s="50"/>
    </row>
    <row r="125" spans="1:13">
      <c r="A125" t="s">
        <v>192</v>
      </c>
      <c r="B125" t="s">
        <v>500</v>
      </c>
      <c r="D125" s="3">
        <f>+assessment!H125</f>
        <v>1.5889103668185172E-3</v>
      </c>
      <c r="F125" s="16">
        <f>+assessment!J125</f>
        <v>81955.299999192372</v>
      </c>
      <c r="H125" s="40">
        <v>-61634.78</v>
      </c>
      <c r="J125" s="16">
        <f t="shared" si="2"/>
        <v>20320.519999192373</v>
      </c>
      <c r="K125" s="16"/>
      <c r="M125" s="50"/>
    </row>
    <row r="126" spans="1:13">
      <c r="A126" t="s">
        <v>193</v>
      </c>
      <c r="B126" t="s">
        <v>194</v>
      </c>
      <c r="D126" s="3">
        <f>+assessment!H126</f>
        <v>2.0143777021963661E-3</v>
      </c>
      <c r="F126" s="16">
        <f>+assessment!J126</f>
        <v>103900.71859480992</v>
      </c>
      <c r="H126" s="40">
        <v>-78139.740000000005</v>
      </c>
      <c r="J126" s="16">
        <f t="shared" si="2"/>
        <v>25760.978594809916</v>
      </c>
      <c r="K126" s="16"/>
      <c r="M126" s="50"/>
    </row>
    <row r="127" spans="1:13">
      <c r="A127" t="s">
        <v>551</v>
      </c>
      <c r="B127" t="s">
        <v>552</v>
      </c>
      <c r="D127" s="3">
        <f>+assessment!H127</f>
        <v>4.4651953715266966E-4</v>
      </c>
      <c r="F127" s="16">
        <f>+assessment!J127</f>
        <v>23031.281931982852</v>
      </c>
      <c r="H127" s="40">
        <v>-17320.57</v>
      </c>
      <c r="J127" s="16">
        <f t="shared" si="2"/>
        <v>5710.7119319828525</v>
      </c>
      <c r="K127" s="16"/>
      <c r="M127" s="50"/>
    </row>
    <row r="128" spans="1:13" s="50" customFormat="1">
      <c r="A128" s="52" t="s">
        <v>571</v>
      </c>
      <c r="B128" s="52" t="s">
        <v>563</v>
      </c>
      <c r="D128" s="53">
        <f>+assessment!H129</f>
        <v>4.1122502583482742E-4</v>
      </c>
      <c r="F128" s="16">
        <f>+assessment!J128</f>
        <v>249249.79213993906</v>
      </c>
      <c r="H128" s="40">
        <v>-187449.94</v>
      </c>
      <c r="J128" s="16">
        <f>SUM(F128:H128)</f>
        <v>61799.852139939059</v>
      </c>
      <c r="K128" s="16"/>
    </row>
    <row r="129" spans="1:13">
      <c r="A129" t="s">
        <v>195</v>
      </c>
      <c r="B129" t="s">
        <v>196</v>
      </c>
      <c r="D129" s="3">
        <f>+assessment!H129</f>
        <v>4.1122502583482742E-4</v>
      </c>
      <c r="F129" s="16">
        <f>+assessment!J129</f>
        <v>21210.806514498818</v>
      </c>
      <c r="H129" s="40">
        <v>-15951.42</v>
      </c>
      <c r="J129" s="16">
        <f t="shared" si="2"/>
        <v>5259.3865144988176</v>
      </c>
      <c r="K129" s="16"/>
      <c r="M129" s="50"/>
    </row>
    <row r="130" spans="1:13">
      <c r="A130" t="s">
        <v>197</v>
      </c>
      <c r="B130" t="s">
        <v>541</v>
      </c>
      <c r="D130" s="3">
        <f>+assessment!H130</f>
        <v>1.5117994250517233E-4</v>
      </c>
      <c r="F130" s="16">
        <f>+assessment!J130</f>
        <v>7797.7951435237992</v>
      </c>
      <c r="H130" s="40">
        <v>-5864.2699999999995</v>
      </c>
      <c r="J130" s="16">
        <f t="shared" si="2"/>
        <v>1933.5251435237997</v>
      </c>
      <c r="K130" s="16"/>
      <c r="M130" s="50"/>
    </row>
    <row r="131" spans="1:13">
      <c r="A131" t="s">
        <v>198</v>
      </c>
      <c r="B131" t="s">
        <v>199</v>
      </c>
      <c r="D131" s="3">
        <f>+assessment!H131</f>
        <v>1.9681167652194687E-3</v>
      </c>
      <c r="F131" s="16">
        <f>+assessment!J131</f>
        <v>101514.59975049981</v>
      </c>
      <c r="H131" s="40">
        <v>-76343.69</v>
      </c>
      <c r="J131" s="16">
        <f t="shared" si="2"/>
        <v>25170.909750499806</v>
      </c>
      <c r="K131" s="16"/>
      <c r="M131" s="50"/>
    </row>
    <row r="132" spans="1:13">
      <c r="A132" t="s">
        <v>200</v>
      </c>
      <c r="B132" t="s">
        <v>542</v>
      </c>
      <c r="D132" s="3">
        <f>+assessment!H132</f>
        <v>2.6572562737072608E-4</v>
      </c>
      <c r="F132" s="16">
        <f>+assessment!J132</f>
        <v>13706.011341751706</v>
      </c>
      <c r="H132" s="40">
        <v>-10307.699999999999</v>
      </c>
      <c r="J132" s="16">
        <f t="shared" si="2"/>
        <v>3398.311341751707</v>
      </c>
      <c r="K132" s="16"/>
      <c r="M132" s="50"/>
    </row>
    <row r="133" spans="1:13">
      <c r="A133" t="s">
        <v>201</v>
      </c>
      <c r="B133" t="s">
        <v>543</v>
      </c>
      <c r="D133" s="3">
        <f>+assessment!H133</f>
        <v>1.1736845814689942E-3</v>
      </c>
      <c r="F133" s="16">
        <f>+assessment!J133</f>
        <v>60538.13606321859</v>
      </c>
      <c r="H133" s="40">
        <v>-45527.21</v>
      </c>
      <c r="J133" s="16">
        <f t="shared" si="2"/>
        <v>15010.926063218591</v>
      </c>
      <c r="K133" s="16"/>
      <c r="M133" s="50"/>
    </row>
    <row r="134" spans="1:13">
      <c r="A134" t="s">
        <v>202</v>
      </c>
      <c r="B134" t="s">
        <v>501</v>
      </c>
      <c r="D134" s="3">
        <f>+assessment!H134</f>
        <v>6.1231613676529994E-4</v>
      </c>
      <c r="F134" s="16">
        <f>+assessment!J134</f>
        <v>31582.997839851359</v>
      </c>
      <c r="H134" s="40">
        <v>-23751.93</v>
      </c>
      <c r="J134" s="16">
        <f t="shared" si="2"/>
        <v>7831.0678398513592</v>
      </c>
      <c r="K134" s="16"/>
      <c r="M134" s="50"/>
    </row>
    <row r="135" spans="1:13">
      <c r="A135" t="s">
        <v>203</v>
      </c>
      <c r="B135" t="s">
        <v>544</v>
      </c>
      <c r="D135" s="3">
        <f>+assessment!H135</f>
        <v>2.2981091530715102E-2</v>
      </c>
      <c r="F135" s="16">
        <f>+assessment!J135</f>
        <v>1185354.6241754596</v>
      </c>
      <c r="H135" s="40">
        <v>-891447.58000000007</v>
      </c>
      <c r="J135" s="16">
        <f t="shared" si="2"/>
        <v>293907.04417545954</v>
      </c>
      <c r="K135" s="16"/>
      <c r="M135" s="50"/>
    </row>
    <row r="136" spans="1:13">
      <c r="A136" t="s">
        <v>204</v>
      </c>
      <c r="B136" t="s">
        <v>205</v>
      </c>
      <c r="D136" s="3">
        <f>+assessment!H136</f>
        <v>9.064236730258596E-4</v>
      </c>
      <c r="F136" s="16">
        <f>+assessment!J136</f>
        <v>46752.935596957454</v>
      </c>
      <c r="H136" s="40">
        <v>-35160.239999999998</v>
      </c>
      <c r="J136" s="16">
        <f t="shared" si="2"/>
        <v>11592.695596957456</v>
      </c>
      <c r="K136" s="16"/>
      <c r="M136" s="50"/>
    </row>
    <row r="137" spans="1:13">
      <c r="A137" t="s">
        <v>206</v>
      </c>
      <c r="B137" t="s">
        <v>207</v>
      </c>
      <c r="D137" s="3">
        <f>+assessment!H137</f>
        <v>9.4075928854661607E-4</v>
      </c>
      <c r="F137" s="16">
        <f>+assessment!J137</f>
        <v>48523.951589694021</v>
      </c>
      <c r="H137" s="40">
        <v>-36492.350000000006</v>
      </c>
      <c r="J137" s="16">
        <f t="shared" si="2"/>
        <v>12031.601589694015</v>
      </c>
      <c r="K137" s="16"/>
      <c r="M137" s="50"/>
    </row>
    <row r="138" spans="1:13">
      <c r="A138" t="s">
        <v>208</v>
      </c>
      <c r="B138" t="s">
        <v>209</v>
      </c>
      <c r="D138" s="3">
        <f>+assessment!H138</f>
        <v>2.0144307671324851E-5</v>
      </c>
      <c r="F138" s="16">
        <f>+assessment!J138</f>
        <v>1039.034556609465</v>
      </c>
      <c r="H138" s="40">
        <v>-781.39</v>
      </c>
      <c r="J138" s="16">
        <f t="shared" si="2"/>
        <v>257.64455660946498</v>
      </c>
      <c r="K138" s="16"/>
      <c r="M138" s="50"/>
    </row>
    <row r="139" spans="1:13">
      <c r="A139" t="s">
        <v>210</v>
      </c>
      <c r="B139" t="s">
        <v>461</v>
      </c>
      <c r="D139" s="3">
        <f>+assessment!H139</f>
        <v>2.0940696120658552E-5</v>
      </c>
      <c r="F139" s="16">
        <f>+assessment!J139</f>
        <v>1080.1119236177262</v>
      </c>
      <c r="H139" s="40">
        <v>-812.28</v>
      </c>
      <c r="J139" s="16">
        <f t="shared" si="2"/>
        <v>267.83192361772626</v>
      </c>
      <c r="K139" s="16"/>
      <c r="M139" s="50"/>
    </row>
    <row r="140" spans="1:13" outlineLevel="1">
      <c r="A140" t="s">
        <v>211</v>
      </c>
      <c r="B140" t="s">
        <v>212</v>
      </c>
      <c r="D140" s="3">
        <f>+assessment!H140</f>
        <v>2.4113649471588297E-5</v>
      </c>
      <c r="F140" s="16">
        <f>+assessment!J140</f>
        <v>1243.7714661503676</v>
      </c>
      <c r="H140" s="40">
        <v>-935.36169912416176</v>
      </c>
      <c r="J140" s="16">
        <f t="shared" si="2"/>
        <v>308.40976702620583</v>
      </c>
      <c r="K140" s="16"/>
      <c r="M140" s="50"/>
    </row>
    <row r="141" spans="1:13" outlineLevel="1">
      <c r="A141" t="s">
        <v>213</v>
      </c>
      <c r="B141" t="s">
        <v>214</v>
      </c>
      <c r="D141" s="3">
        <f>+assessment!H141</f>
        <v>7.5390839634269757E-6</v>
      </c>
      <c r="F141" s="16">
        <f>+assessment!J141</f>
        <v>388.86264502063625</v>
      </c>
      <c r="H141" s="40">
        <v>-292.43895222826234</v>
      </c>
      <c r="J141" s="16">
        <f t="shared" si="2"/>
        <v>96.423692792373913</v>
      </c>
      <c r="K141" s="16"/>
      <c r="M141" s="50"/>
    </row>
    <row r="142" spans="1:13" outlineLevel="1">
      <c r="A142" t="s">
        <v>215</v>
      </c>
      <c r="B142" t="s">
        <v>216</v>
      </c>
      <c r="D142" s="3">
        <f>+assessment!H142</f>
        <v>4.0351544044164991E-5</v>
      </c>
      <c r="F142" s="16">
        <f>+assessment!J142</f>
        <v>2081.3149480494822</v>
      </c>
      <c r="H142" s="40">
        <v>-1565.225074864949</v>
      </c>
      <c r="J142" s="16">
        <f t="shared" si="2"/>
        <v>516.08987318453319</v>
      </c>
      <c r="K142" s="16"/>
      <c r="M142" s="50"/>
    </row>
    <row r="143" spans="1:13" outlineLevel="1">
      <c r="A143" t="s">
        <v>504</v>
      </c>
      <c r="B143" t="s">
        <v>502</v>
      </c>
      <c r="D143" s="3">
        <f>+assessment!H143</f>
        <v>3.2480484409429846E-5</v>
      </c>
      <c r="F143" s="16">
        <f>+assessment!J143</f>
        <v>1675.3291434707828</v>
      </c>
      <c r="H143" s="40">
        <v>-1259.9088794658187</v>
      </c>
      <c r="J143" s="16">
        <f t="shared" si="2"/>
        <v>415.42026400496411</v>
      </c>
      <c r="K143" s="16"/>
      <c r="M143" s="50"/>
    </row>
    <row r="144" spans="1:13" outlineLevel="1">
      <c r="A144" t="s">
        <v>217</v>
      </c>
      <c r="B144" t="s">
        <v>218</v>
      </c>
      <c r="D144" s="3">
        <f>+assessment!H144</f>
        <v>9.1511418899938363E-5</v>
      </c>
      <c r="F144" s="16">
        <f>+assessment!J144</f>
        <v>4720.118860016747</v>
      </c>
      <c r="H144" s="40">
        <v>-3549.8215174147172</v>
      </c>
      <c r="J144" s="16">
        <f t="shared" si="2"/>
        <v>1170.2973426020299</v>
      </c>
      <c r="K144" s="16"/>
      <c r="M144" s="50"/>
    </row>
    <row r="145" spans="1:13" outlineLevel="1">
      <c r="A145" t="s">
        <v>219</v>
      </c>
      <c r="B145" t="s">
        <v>220</v>
      </c>
      <c r="D145" s="3">
        <f>+assessment!H145</f>
        <v>2.5812594860080281E-5</v>
      </c>
      <c r="F145" s="16">
        <f>+assessment!J145</f>
        <v>1331.4023243182207</v>
      </c>
      <c r="H145" s="40">
        <v>-1001.2633141895135</v>
      </c>
      <c r="J145" s="16">
        <f t="shared" si="2"/>
        <v>330.13901012870724</v>
      </c>
      <c r="K145" s="16"/>
      <c r="M145" s="50"/>
    </row>
    <row r="146" spans="1:13" outlineLevel="1">
      <c r="A146" t="s">
        <v>221</v>
      </c>
      <c r="B146" t="s">
        <v>222</v>
      </c>
      <c r="D146" s="3">
        <f>+assessment!H146</f>
        <v>3.6366136560742491E-4</v>
      </c>
      <c r="F146" s="16">
        <f>+assessment!J146</f>
        <v>18757.493776158772</v>
      </c>
      <c r="H146" s="40">
        <v>-14106.40186266206</v>
      </c>
      <c r="J146" s="16">
        <f t="shared" si="2"/>
        <v>4651.0919134967116</v>
      </c>
      <c r="K146" s="16"/>
      <c r="M146" s="50"/>
    </row>
    <row r="147" spans="1:13" outlineLevel="1">
      <c r="A147" t="s">
        <v>223</v>
      </c>
      <c r="B147" t="s">
        <v>224</v>
      </c>
      <c r="D147" s="3">
        <f>+assessment!H147</f>
        <v>2.7162879948378267E-3</v>
      </c>
      <c r="F147" s="16">
        <f>+assessment!J147</f>
        <v>140104.94370861223</v>
      </c>
      <c r="H147" s="40">
        <v>-105365.40086437721</v>
      </c>
      <c r="J147" s="16">
        <f t="shared" si="2"/>
        <v>34739.542844235024</v>
      </c>
      <c r="K147" s="16"/>
      <c r="M147" s="50"/>
    </row>
    <row r="148" spans="1:13" outlineLevel="1">
      <c r="A148" t="s">
        <v>225</v>
      </c>
      <c r="B148" t="s">
        <v>226</v>
      </c>
      <c r="D148" s="3">
        <f>+assessment!H148</f>
        <v>1.1099187979767567E-4</v>
      </c>
      <c r="F148" s="16">
        <f>+assessment!J148</f>
        <v>5724.912491134738</v>
      </c>
      <c r="H148" s="40">
        <v>-4305.4233823873965</v>
      </c>
      <c r="J148" s="16">
        <f t="shared" si="2"/>
        <v>1419.4891087473416</v>
      </c>
      <c r="K148" s="16"/>
      <c r="M148" s="50"/>
    </row>
    <row r="149" spans="1:13" outlineLevel="1">
      <c r="A149" t="s">
        <v>227</v>
      </c>
      <c r="B149" t="s">
        <v>228</v>
      </c>
      <c r="D149" s="3">
        <f>+assessment!H149</f>
        <v>1.1528189835788446E-4</v>
      </c>
      <c r="F149" s="16">
        <f>+assessment!J149</f>
        <v>5946.189767340069</v>
      </c>
      <c r="H149" s="40">
        <v>-4471.8319989347638</v>
      </c>
      <c r="J149" s="16">
        <f t="shared" ref="J149:J210" si="3">SUM(F149:H149)</f>
        <v>1474.3577684053053</v>
      </c>
      <c r="M149" s="50"/>
    </row>
    <row r="150" spans="1:13" outlineLevel="1">
      <c r="A150" t="s">
        <v>229</v>
      </c>
      <c r="B150" t="s">
        <v>230</v>
      </c>
      <c r="D150" s="3">
        <f>+assessment!H150</f>
        <v>5.9419452113503897E-5</v>
      </c>
      <c r="F150" s="16">
        <f>+assessment!J150</f>
        <v>3064.8292851789738</v>
      </c>
      <c r="H150" s="40">
        <v>-2304.9036294411876</v>
      </c>
      <c r="J150" s="16">
        <f t="shared" si="3"/>
        <v>759.9256557377862</v>
      </c>
      <c r="M150" s="50"/>
    </row>
    <row r="151" spans="1:13" outlineLevel="1">
      <c r="A151" t="s">
        <v>231</v>
      </c>
      <c r="B151" t="s">
        <v>232</v>
      </c>
      <c r="D151" s="3">
        <f>+assessment!H151</f>
        <v>2.1296104314306305E-5</v>
      </c>
      <c r="F151" s="16">
        <f>+assessment!J151</f>
        <v>1098.4437224031385</v>
      </c>
      <c r="H151" s="40">
        <v>-826.06991279459635</v>
      </c>
      <c r="J151" s="16">
        <f t="shared" si="3"/>
        <v>272.37380960854216</v>
      </c>
      <c r="M151" s="50"/>
    </row>
    <row r="152" spans="1:13" outlineLevel="1">
      <c r="A152" t="s">
        <v>233</v>
      </c>
      <c r="B152" t="s">
        <v>234</v>
      </c>
      <c r="D152" s="3">
        <f>+assessment!H152</f>
        <v>8.7046243573445802E-5</v>
      </c>
      <c r="F152" s="16">
        <f>+assessment!J152</f>
        <v>4489.8070746109897</v>
      </c>
      <c r="H152" s="40">
        <v>-3376.5788699663653</v>
      </c>
      <c r="J152" s="16">
        <f t="shared" si="3"/>
        <v>1113.2282046446244</v>
      </c>
      <c r="M152" s="50"/>
    </row>
    <row r="153" spans="1:13" outlineLevel="1">
      <c r="A153" t="s">
        <v>235</v>
      </c>
      <c r="B153" t="s">
        <v>236</v>
      </c>
      <c r="D153" s="3">
        <f>+assessment!H153</f>
        <v>1.7042653769091157E-4</v>
      </c>
      <c r="F153" s="16">
        <f>+assessment!J153</f>
        <v>8790.5260837647056</v>
      </c>
      <c r="H153" s="40">
        <v>-6610.9168396858458</v>
      </c>
      <c r="J153" s="16">
        <f t="shared" si="3"/>
        <v>2179.6092440788598</v>
      </c>
      <c r="M153" s="50"/>
    </row>
    <row r="154" spans="1:13" outlineLevel="1">
      <c r="A154" t="s">
        <v>237</v>
      </c>
      <c r="B154" t="s">
        <v>238</v>
      </c>
      <c r="D154" s="3">
        <f>+assessment!H154</f>
        <v>1.8738471465375143E-4</v>
      </c>
      <c r="F154" s="16">
        <f>+assessment!J154</f>
        <v>9665.2214155169695</v>
      </c>
      <c r="H154" s="40">
        <v>-7268.7992655968483</v>
      </c>
      <c r="J154" s="16">
        <f t="shared" si="3"/>
        <v>2396.4221499201212</v>
      </c>
      <c r="M154" s="50"/>
    </row>
    <row r="155" spans="1:13" outlineLevel="1">
      <c r="A155" t="s">
        <v>239</v>
      </c>
      <c r="B155" t="s">
        <v>240</v>
      </c>
      <c r="D155" s="3">
        <f>+assessment!H155</f>
        <v>1.6707207402524047E-5</v>
      </c>
      <c r="F155" s="16">
        <f>+assessment!J155</f>
        <v>861.75043187881636</v>
      </c>
      <c r="H155" s="40">
        <v>-648.06788877219299</v>
      </c>
      <c r="J155" s="16">
        <f t="shared" si="3"/>
        <v>213.68254310662337</v>
      </c>
      <c r="M155" s="50"/>
    </row>
    <row r="156" spans="1:13" outlineLevel="1">
      <c r="A156" t="s">
        <v>241</v>
      </c>
      <c r="B156" t="s">
        <v>242</v>
      </c>
      <c r="D156" s="3">
        <f>+assessment!H156</f>
        <v>1.5018203304700851E-5</v>
      </c>
      <c r="F156" s="16">
        <f>+assessment!J156</f>
        <v>774.63234112450277</v>
      </c>
      <c r="H156" s="40">
        <v>-582.55189358328471</v>
      </c>
      <c r="J156" s="16">
        <f t="shared" si="3"/>
        <v>192.08044754121806</v>
      </c>
      <c r="M156" s="50"/>
    </row>
    <row r="157" spans="1:13" outlineLevel="1">
      <c r="A157" t="s">
        <v>243</v>
      </c>
      <c r="B157" t="s">
        <v>244</v>
      </c>
      <c r="D157" s="3">
        <f>+assessment!H157</f>
        <v>3.8704402680841268E-5</v>
      </c>
      <c r="F157" s="16">
        <f>+assessment!J157</f>
        <v>1996.3561187842611</v>
      </c>
      <c r="H157" s="40">
        <v>-1501.332923404681</v>
      </c>
      <c r="J157" s="16">
        <f t="shared" si="3"/>
        <v>495.0231953795801</v>
      </c>
      <c r="M157" s="50"/>
    </row>
    <row r="158" spans="1:13" outlineLevel="1">
      <c r="A158" t="s">
        <v>245</v>
      </c>
      <c r="B158" t="s">
        <v>246</v>
      </c>
      <c r="D158" s="3">
        <f>+assessment!H158</f>
        <v>1.9587597909256205E-4</v>
      </c>
      <c r="F158" s="16">
        <f>+assessment!J158</f>
        <v>10103.197111936277</v>
      </c>
      <c r="H158" s="40">
        <v>-7598.212780382024</v>
      </c>
      <c r="J158" s="16">
        <f t="shared" si="3"/>
        <v>2504.984331554253</v>
      </c>
      <c r="M158" s="50"/>
    </row>
    <row r="159" spans="1:13" outlineLevel="1">
      <c r="A159" t="s">
        <v>247</v>
      </c>
      <c r="B159" t="s">
        <v>248</v>
      </c>
      <c r="D159" s="3">
        <f>+assessment!H159</f>
        <v>9.4542990644872534E-6</v>
      </c>
      <c r="F159" s="16">
        <f>+assessment!J159</f>
        <v>487.64860013065572</v>
      </c>
      <c r="H159" s="40">
        <v>-366.72960878054812</v>
      </c>
      <c r="J159" s="16">
        <f t="shared" si="3"/>
        <v>120.9189913501076</v>
      </c>
      <c r="M159" s="50"/>
    </row>
    <row r="160" spans="1:13" outlineLevel="1">
      <c r="A160" t="s">
        <v>249</v>
      </c>
      <c r="B160" t="s">
        <v>250</v>
      </c>
      <c r="D160" s="3">
        <f>+assessment!H160</f>
        <v>8.5134071659246349E-6</v>
      </c>
      <c r="F160" s="16">
        <f>+assessment!J160</f>
        <v>439.11780857448446</v>
      </c>
      <c r="H160" s="40">
        <v>-330.23267595530967</v>
      </c>
      <c r="J160" s="16">
        <f t="shared" si="3"/>
        <v>108.88513261917478</v>
      </c>
      <c r="M160" s="50"/>
    </row>
    <row r="161" spans="1:13" outlineLevel="1">
      <c r="A161" t="s">
        <v>251</v>
      </c>
      <c r="B161" t="s">
        <v>252</v>
      </c>
      <c r="D161" s="3">
        <f>+assessment!H161</f>
        <v>2.0675303527730695E-5</v>
      </c>
      <c r="F161" s="16">
        <f>+assessment!J161</f>
        <v>1066.4230900465052</v>
      </c>
      <c r="H161" s="40">
        <v>-802.0289735327317</v>
      </c>
      <c r="J161" s="16">
        <f t="shared" si="3"/>
        <v>264.3941165137735</v>
      </c>
      <c r="M161" s="50"/>
    </row>
    <row r="162" spans="1:13" outlineLevel="1">
      <c r="A162" t="s">
        <v>495</v>
      </c>
      <c r="B162" t="s">
        <v>496</v>
      </c>
      <c r="D162" s="3">
        <f>+assessment!H162</f>
        <v>1.7993360068831133E-4</v>
      </c>
      <c r="F162" s="16">
        <f>+assessment!J162</f>
        <v>9280.8962244185332</v>
      </c>
      <c r="H162" s="40">
        <v>-6979.5738993235373</v>
      </c>
      <c r="J162" s="16">
        <f t="shared" si="3"/>
        <v>2301.3223250949959</v>
      </c>
      <c r="M162" s="50"/>
    </row>
    <row r="163" spans="1:13" outlineLevel="1">
      <c r="A163" t="s">
        <v>253</v>
      </c>
      <c r="B163" t="s">
        <v>254</v>
      </c>
      <c r="D163" s="3">
        <f>+assessment!H163</f>
        <v>9.7955482159541051E-4</v>
      </c>
      <c r="F163" s="16">
        <f>+assessment!J163</f>
        <v>50525.008172897549</v>
      </c>
      <c r="H163" s="40">
        <v>-37997.491495314032</v>
      </c>
      <c r="J163" s="16">
        <f t="shared" si="3"/>
        <v>12527.516677583517</v>
      </c>
      <c r="M163" s="50"/>
    </row>
    <row r="164" spans="1:13" outlineLevel="1">
      <c r="A164" t="s">
        <v>255</v>
      </c>
      <c r="B164" t="s">
        <v>256</v>
      </c>
      <c r="D164" s="3">
        <f>+assessment!H164</f>
        <v>1.3608160514569609E-5</v>
      </c>
      <c r="F164" s="16">
        <f>+assessment!J164</f>
        <v>701.90295229919639</v>
      </c>
      <c r="H164" s="40">
        <v>-527.85672927109204</v>
      </c>
      <c r="J164" s="16">
        <f t="shared" si="3"/>
        <v>174.04622302810435</v>
      </c>
      <c r="M164" s="50"/>
    </row>
    <row r="165" spans="1:13" outlineLevel="1">
      <c r="A165" t="s">
        <v>257</v>
      </c>
      <c r="B165" t="s">
        <v>258</v>
      </c>
      <c r="D165" s="3">
        <f>+assessment!H165</f>
        <v>3.4186853482721008E-5</v>
      </c>
      <c r="F165" s="16">
        <f>+assessment!J165</f>
        <v>1763.3429120453659</v>
      </c>
      <c r="H165" s="40">
        <v>-1326.0984571821773</v>
      </c>
      <c r="J165" s="16">
        <f t="shared" si="3"/>
        <v>437.24445486318859</v>
      </c>
      <c r="M165" s="50"/>
    </row>
    <row r="166" spans="1:13" outlineLevel="1">
      <c r="A166" t="s">
        <v>259</v>
      </c>
      <c r="B166" t="s">
        <v>260</v>
      </c>
      <c r="D166" s="3">
        <f>+assessment!H166</f>
        <v>9.8598465033287709E-5</v>
      </c>
      <c r="F166" s="16">
        <f>+assessment!J166</f>
        <v>5085.6655919760478</v>
      </c>
      <c r="H166" s="40">
        <v>-3824.6863000192789</v>
      </c>
      <c r="J166" s="16">
        <f t="shared" si="3"/>
        <v>1260.979291956769</v>
      </c>
      <c r="M166" s="50"/>
    </row>
    <row r="167" spans="1:13" outlineLevel="1">
      <c r="A167" t="s">
        <v>261</v>
      </c>
      <c r="B167" t="s">
        <v>262</v>
      </c>
      <c r="D167" s="3">
        <f>+assessment!H167</f>
        <v>1.9964524641151809E-5</v>
      </c>
      <c r="F167" s="16">
        <f>+assessment!J167</f>
        <v>1029.7614267462004</v>
      </c>
      <c r="H167" s="40">
        <v>-774.41831078102393</v>
      </c>
      <c r="J167" s="16">
        <f t="shared" si="3"/>
        <v>255.34311596517648</v>
      </c>
      <c r="M167" s="50"/>
    </row>
    <row r="168" spans="1:13" outlineLevel="1">
      <c r="A168" t="s">
        <v>263</v>
      </c>
      <c r="B168" t="s">
        <v>264</v>
      </c>
      <c r="D168" s="3">
        <f>+assessment!H168</f>
        <v>4.4247417831054029E-5</v>
      </c>
      <c r="F168" s="16">
        <f>+assessment!J168</f>
        <v>2282.2624096755221</v>
      </c>
      <c r="H168" s="40">
        <v>-1716.3449262611243</v>
      </c>
      <c r="J168" s="16">
        <f t="shared" si="3"/>
        <v>565.91748341439779</v>
      </c>
      <c r="M168" s="50"/>
    </row>
    <row r="169" spans="1:13" outlineLevel="1">
      <c r="A169" t="s">
        <v>265</v>
      </c>
      <c r="B169" t="s">
        <v>266</v>
      </c>
      <c r="D169" s="3">
        <f>+assessment!H169</f>
        <v>8.8609394296646919E-5</v>
      </c>
      <c r="F169" s="16">
        <f>+assessment!J169</f>
        <v>4570.4337034877426</v>
      </c>
      <c r="H169" s="40">
        <v>-3437.1335498314356</v>
      </c>
      <c r="J169" s="16">
        <f t="shared" si="3"/>
        <v>1133.300153656307</v>
      </c>
      <c r="M169" s="50"/>
    </row>
    <row r="170" spans="1:13" outlineLevel="1">
      <c r="A170" t="s">
        <v>267</v>
      </c>
      <c r="B170" t="s">
        <v>268</v>
      </c>
      <c r="D170" s="3">
        <f>+assessment!H170</f>
        <v>1.3625416417052481E-3</v>
      </c>
      <c r="F170" s="16">
        <f>+assessment!J170</f>
        <v>70279.300418272222</v>
      </c>
      <c r="H170" s="40">
        <v>-52854.616463077589</v>
      </c>
      <c r="J170" s="16">
        <f t="shared" si="3"/>
        <v>17424.683955194632</v>
      </c>
      <c r="M170" s="50"/>
    </row>
    <row r="171" spans="1:13" outlineLevel="1">
      <c r="A171" t="s">
        <v>269</v>
      </c>
      <c r="B171" t="s">
        <v>270</v>
      </c>
      <c r="D171" s="3">
        <f>+assessment!H171</f>
        <v>8.4796259596480572E-6</v>
      </c>
      <c r="F171" s="16">
        <f>+assessment!J171</f>
        <v>437.37538876745975</v>
      </c>
      <c r="H171" s="40">
        <v>-328.92231243963693</v>
      </c>
      <c r="J171" s="16">
        <f t="shared" si="3"/>
        <v>108.45307632782283</v>
      </c>
      <c r="M171" s="50"/>
    </row>
    <row r="172" spans="1:13" outlineLevel="1">
      <c r="A172" t="s">
        <v>271</v>
      </c>
      <c r="B172" t="s">
        <v>272</v>
      </c>
      <c r="D172" s="3">
        <f>+assessment!H172</f>
        <v>1.3652897756738986E-5</v>
      </c>
      <c r="F172" s="16">
        <f>+assessment!J172</f>
        <v>704.2104796334595</v>
      </c>
      <c r="H172" s="40">
        <v>-529.5920743460465</v>
      </c>
      <c r="J172" s="16">
        <f t="shared" si="3"/>
        <v>174.618405287413</v>
      </c>
      <c r="M172" s="50"/>
    </row>
    <row r="173" spans="1:13" outlineLevel="1">
      <c r="A173" t="s">
        <v>273</v>
      </c>
      <c r="B173" t="s">
        <v>274</v>
      </c>
      <c r="D173" s="3">
        <f>+assessment!H173</f>
        <v>1.4740355360328242E-5</v>
      </c>
      <c r="F173" s="16">
        <f>+assessment!J173</f>
        <v>760.30106598730868</v>
      </c>
      <c r="H173" s="40">
        <v>-571.77424975740144</v>
      </c>
      <c r="J173" s="16">
        <f t="shared" si="3"/>
        <v>188.52681622990724</v>
      </c>
      <c r="M173" s="50"/>
    </row>
    <row r="174" spans="1:13" outlineLevel="1">
      <c r="A174" t="s">
        <v>275</v>
      </c>
      <c r="B174" t="s">
        <v>276</v>
      </c>
      <c r="D174" s="3">
        <f>+assessment!H174</f>
        <v>1.689401537746345E-5</v>
      </c>
      <c r="F174" s="16">
        <f>+assessment!J174</f>
        <v>871.38590531276191</v>
      </c>
      <c r="H174" s="40">
        <v>-655.3141177202923</v>
      </c>
      <c r="J174" s="16">
        <f t="shared" si="3"/>
        <v>216.0717875924696</v>
      </c>
      <c r="M174" s="50"/>
    </row>
    <row r="175" spans="1:13" outlineLevel="1">
      <c r="A175" t="s">
        <v>277</v>
      </c>
      <c r="B175" t="s">
        <v>278</v>
      </c>
      <c r="D175" s="3">
        <f>+assessment!H175</f>
        <v>2.6652389140461176E-5</v>
      </c>
      <c r="F175" s="16">
        <f>+assessment!J175</f>
        <v>1374.7185450588731</v>
      </c>
      <c r="H175" s="40">
        <v>-1033.838698763185</v>
      </c>
      <c r="J175" s="16">
        <f t="shared" si="3"/>
        <v>340.87984629568814</v>
      </c>
      <c r="M175" s="50"/>
    </row>
    <row r="176" spans="1:13" outlineLevel="1">
      <c r="A176" t="s">
        <v>279</v>
      </c>
      <c r="B176" t="s">
        <v>280</v>
      </c>
      <c r="D176" s="3">
        <f>+assessment!H176</f>
        <v>1.2134934730537258E-4</v>
      </c>
      <c r="F176" s="16">
        <f>+assessment!J176</f>
        <v>6259.1461235358174</v>
      </c>
      <c r="H176" s="40">
        <v>-4707.1468925396048</v>
      </c>
      <c r="J176" s="16">
        <f t="shared" si="3"/>
        <v>1551.9992309962126</v>
      </c>
      <c r="M176" s="50"/>
    </row>
    <row r="177" spans="1:13" outlineLevel="1">
      <c r="A177" t="s">
        <v>281</v>
      </c>
      <c r="B177" t="s">
        <v>282</v>
      </c>
      <c r="D177" s="3">
        <f>+assessment!H177</f>
        <v>5.7629648979754241E-5</v>
      </c>
      <c r="F177" s="16">
        <f>+assessment!J177</f>
        <v>2972.5120243509423</v>
      </c>
      <c r="H177" s="40">
        <v>-2235.4379187906293</v>
      </c>
      <c r="J177" s="16">
        <f t="shared" si="3"/>
        <v>737.074105560313</v>
      </c>
      <c r="M177" s="50"/>
    </row>
    <row r="178" spans="1:13" outlineLevel="1">
      <c r="A178" t="s">
        <v>283</v>
      </c>
      <c r="B178" t="s">
        <v>284</v>
      </c>
      <c r="D178" s="3">
        <f>+assessment!H178</f>
        <v>1.6858662801969803E-5</v>
      </c>
      <c r="F178" s="16">
        <f>+assessment!J178</f>
        <v>869.56243497055038</v>
      </c>
      <c r="H178" s="40">
        <v>-653.94280123341355</v>
      </c>
      <c r="J178" s="16">
        <f t="shared" si="3"/>
        <v>215.61963373713684</v>
      </c>
      <c r="M178" s="50"/>
    </row>
    <row r="179" spans="1:13" outlineLevel="1">
      <c r="A179" t="s">
        <v>285</v>
      </c>
      <c r="B179" t="s">
        <v>286</v>
      </c>
      <c r="D179" s="3">
        <f>+assessment!H179</f>
        <v>4.4483765111933798E-5</v>
      </c>
      <c r="F179" s="16">
        <f>+assessment!J179</f>
        <v>2294.4530987873814</v>
      </c>
      <c r="H179" s="40">
        <v>-1725.5127709956832</v>
      </c>
      <c r="J179" s="16">
        <f t="shared" si="3"/>
        <v>568.94032779169811</v>
      </c>
      <c r="M179" s="50"/>
    </row>
    <row r="180" spans="1:13" outlineLevel="1">
      <c r="A180" t="s">
        <v>287</v>
      </c>
      <c r="B180" t="s">
        <v>288</v>
      </c>
      <c r="D180" s="3">
        <f>+assessment!H180</f>
        <v>6.1712687471135135E-5</v>
      </c>
      <c r="F180" s="16">
        <f>+assessment!J180</f>
        <v>3183.113359364821</v>
      </c>
      <c r="H180" s="40">
        <v>-2393.8973348341433</v>
      </c>
      <c r="J180" s="16">
        <f t="shared" si="3"/>
        <v>789.21602453067771</v>
      </c>
      <c r="M180" s="50"/>
    </row>
    <row r="181" spans="1:13" outlineLevel="1">
      <c r="A181" t="s">
        <v>289</v>
      </c>
      <c r="B181" t="s">
        <v>290</v>
      </c>
      <c r="D181" s="3">
        <f>+assessment!H181</f>
        <v>2.7409558436219807E-5</v>
      </c>
      <c r="F181" s="16">
        <f>+assessment!J181</f>
        <v>1413.7730053229388</v>
      </c>
      <c r="H181" s="40">
        <v>-1063.2090833597626</v>
      </c>
      <c r="J181" s="16">
        <f t="shared" si="3"/>
        <v>350.5639219631762</v>
      </c>
      <c r="M181" s="50"/>
    </row>
    <row r="182" spans="1:13" outlineLevel="1">
      <c r="A182" t="s">
        <v>291</v>
      </c>
      <c r="B182" t="s">
        <v>292</v>
      </c>
      <c r="D182" s="3">
        <f>+assessment!H182</f>
        <v>1.5885242249684933E-5</v>
      </c>
      <c r="F182" s="16">
        <f>+assessment!J182</f>
        <v>819.35382971887475</v>
      </c>
      <c r="H182" s="40">
        <v>-616.18409105478213</v>
      </c>
      <c r="J182" s="16">
        <f t="shared" si="3"/>
        <v>203.16973866409262</v>
      </c>
      <c r="M182" s="50"/>
    </row>
    <row r="183" spans="1:13" outlineLevel="1">
      <c r="A183" t="s">
        <v>293</v>
      </c>
      <c r="B183" t="s">
        <v>294</v>
      </c>
      <c r="D183" s="3">
        <f>+assessment!H183</f>
        <v>2.1987374783890597E-4</v>
      </c>
      <c r="F183" s="16">
        <f>+assessment!J183</f>
        <v>11340.991501091079</v>
      </c>
      <c r="H183" s="40">
        <v>-8528.8410040836407</v>
      </c>
      <c r="J183" s="16">
        <f t="shared" si="3"/>
        <v>2812.1504970074384</v>
      </c>
      <c r="M183" s="50"/>
    </row>
    <row r="184" spans="1:13" outlineLevel="1">
      <c r="A184" t="s">
        <v>295</v>
      </c>
      <c r="B184" t="s">
        <v>296</v>
      </c>
      <c r="D184" s="3">
        <f>+assessment!H184</f>
        <v>2.4280034371652022E-3</v>
      </c>
      <c r="F184" s="16">
        <f>+assessment!J184</f>
        <v>125235.35263375397</v>
      </c>
      <c r="H184" s="40">
        <v>-94182.645493843578</v>
      </c>
      <c r="J184" s="16">
        <f t="shared" si="3"/>
        <v>31052.707139910388</v>
      </c>
      <c r="M184" s="50"/>
    </row>
    <row r="185" spans="1:13" outlineLevel="1">
      <c r="A185" t="s">
        <v>297</v>
      </c>
      <c r="B185" t="s">
        <v>298</v>
      </c>
      <c r="D185" s="3">
        <f>+assessment!H185</f>
        <v>1.1823011846469254E-5</v>
      </c>
      <c r="F185" s="16">
        <f>+assessment!J185</f>
        <v>609.8257667684195</v>
      </c>
      <c r="H185" s="40">
        <v>-458.61131316953941</v>
      </c>
      <c r="J185" s="16">
        <f t="shared" si="3"/>
        <v>151.21445359888008</v>
      </c>
      <c r="M185" s="50"/>
    </row>
    <row r="186" spans="1:13" outlineLevel="1">
      <c r="A186" t="s">
        <v>299</v>
      </c>
      <c r="B186" t="s">
        <v>300</v>
      </c>
      <c r="D186" s="3">
        <f>+assessment!H186</f>
        <v>7.4907802741320598E-6</v>
      </c>
      <c r="F186" s="16">
        <f>+assessment!J186</f>
        <v>386.37116190748924</v>
      </c>
      <c r="H186" s="40">
        <v>-290.56526566968546</v>
      </c>
      <c r="J186" s="16">
        <f t="shared" si="3"/>
        <v>95.805896237803779</v>
      </c>
      <c r="M186" s="50"/>
    </row>
    <row r="187" spans="1:13" outlineLevel="1">
      <c r="A187" t="s">
        <v>301</v>
      </c>
      <c r="B187" t="s">
        <v>302</v>
      </c>
      <c r="D187" s="3">
        <f>+assessment!H187</f>
        <v>7.5958722019187256E-5</v>
      </c>
      <c r="F187" s="16">
        <f>+assessment!J187</f>
        <v>3917.9175746096603</v>
      </c>
      <c r="H187" s="40">
        <v>-2946.4175207023532</v>
      </c>
      <c r="J187" s="16">
        <f t="shared" si="3"/>
        <v>971.50005390730712</v>
      </c>
      <c r="M187" s="50"/>
    </row>
    <row r="188" spans="1:13" outlineLevel="1">
      <c r="A188" t="s">
        <v>303</v>
      </c>
      <c r="B188" t="s">
        <v>304</v>
      </c>
      <c r="D188" s="3">
        <f>+assessment!H188</f>
        <v>3.573308472866292E-4</v>
      </c>
      <c r="F188" s="16">
        <f>+assessment!J188</f>
        <v>18430.968417041106</v>
      </c>
      <c r="H188" s="40">
        <v>-13861.00182939379</v>
      </c>
      <c r="J188" s="16">
        <f t="shared" si="3"/>
        <v>4569.9665876473155</v>
      </c>
      <c r="M188" s="50"/>
    </row>
    <row r="189" spans="1:13" outlineLevel="1">
      <c r="A189" t="s">
        <v>305</v>
      </c>
      <c r="B189" t="s">
        <v>306</v>
      </c>
      <c r="D189" s="3">
        <f>+assessment!H189</f>
        <v>1.3403133784972433E-5</v>
      </c>
      <c r="F189" s="16">
        <f>+assessment!J189</f>
        <v>691.32776348874472</v>
      </c>
      <c r="H189" s="40">
        <v>-519.90379994001944</v>
      </c>
      <c r="J189" s="16">
        <f t="shared" si="3"/>
        <v>171.42396354872528</v>
      </c>
      <c r="M189" s="50"/>
    </row>
    <row r="190" spans="1:13" outlineLevel="1">
      <c r="A190" t="s">
        <v>307</v>
      </c>
      <c r="B190" t="s">
        <v>308</v>
      </c>
      <c r="D190" s="3">
        <f>+assessment!H190</f>
        <v>1.039873183305172E-5</v>
      </c>
      <c r="F190" s="16">
        <f>+assessment!J190</f>
        <v>536.36202820888627</v>
      </c>
      <c r="H190" s="40">
        <v>-403.36389095975574</v>
      </c>
      <c r="J190" s="16">
        <f t="shared" si="3"/>
        <v>132.99813724913054</v>
      </c>
      <c r="M190" s="50"/>
    </row>
    <row r="191" spans="1:13" outlineLevel="1">
      <c r="A191" t="s">
        <v>309</v>
      </c>
      <c r="B191" t="s">
        <v>310</v>
      </c>
      <c r="D191" s="3">
        <f>+assessment!H191</f>
        <v>2.3378676916716689E-5</v>
      </c>
      <c r="F191" s="16">
        <f>+assessment!J191</f>
        <v>1205.8619040482056</v>
      </c>
      <c r="H191" s="40">
        <v>-906.85231988049907</v>
      </c>
      <c r="J191" s="16">
        <f t="shared" si="3"/>
        <v>299.00958416770652</v>
      </c>
      <c r="M191" s="50"/>
    </row>
    <row r="192" spans="1:13" outlineLevel="1">
      <c r="A192" t="s">
        <v>311</v>
      </c>
      <c r="B192" t="s">
        <v>312</v>
      </c>
      <c r="D192" s="3">
        <f>+assessment!H192</f>
        <v>1.8910607582432744E-5</v>
      </c>
      <c r="F192" s="16">
        <f>+assessment!J192</f>
        <v>975.40084698956207</v>
      </c>
      <c r="H192" s="40">
        <v>-733.53716369708638</v>
      </c>
      <c r="J192" s="16">
        <f t="shared" si="3"/>
        <v>241.86368329247568</v>
      </c>
      <c r="M192" s="50"/>
    </row>
    <row r="193" spans="1:13" outlineLevel="1">
      <c r="A193" t="s">
        <v>313</v>
      </c>
      <c r="B193" t="s">
        <v>314</v>
      </c>
      <c r="D193" s="3">
        <f>+assessment!H193</f>
        <v>1.4189689177854067E-5</v>
      </c>
      <c r="F193" s="16">
        <f>+assessment!J193</f>
        <v>731.89794575690507</v>
      </c>
      <c r="H193" s="40">
        <v>-550.41406300109111</v>
      </c>
      <c r="J193" s="16">
        <f t="shared" si="3"/>
        <v>181.48388275581397</v>
      </c>
      <c r="M193" s="50"/>
    </row>
    <row r="194" spans="1:13" outlineLevel="1">
      <c r="A194" t="s">
        <v>315</v>
      </c>
      <c r="B194" t="s">
        <v>316</v>
      </c>
      <c r="D194" s="3">
        <f>+assessment!H194</f>
        <v>2.1920305297566023E-5</v>
      </c>
      <c r="F194" s="16">
        <f>+assessment!J194</f>
        <v>1130.6397354137855</v>
      </c>
      <c r="H194" s="40">
        <v>-850.28249384689695</v>
      </c>
      <c r="J194" s="16">
        <f t="shared" si="3"/>
        <v>280.35724156688855</v>
      </c>
      <c r="M194" s="50"/>
    </row>
    <row r="195" spans="1:13" outlineLevel="1">
      <c r="A195" t="s">
        <v>317</v>
      </c>
      <c r="B195" t="s">
        <v>318</v>
      </c>
      <c r="D195" s="3">
        <f>+assessment!H195</f>
        <v>1.4142459496444777E-5</v>
      </c>
      <c r="F195" s="16">
        <f>+assessment!J195</f>
        <v>729.46185949955702</v>
      </c>
      <c r="H195" s="40">
        <v>-548.58203690715061</v>
      </c>
      <c r="J195" s="16">
        <f t="shared" si="3"/>
        <v>180.87982259240641</v>
      </c>
      <c r="M195" s="50"/>
    </row>
    <row r="196" spans="1:13" outlineLevel="1">
      <c r="A196" t="s">
        <v>319</v>
      </c>
      <c r="B196" t="s">
        <v>320</v>
      </c>
      <c r="D196" s="3">
        <f>+assessment!H196</f>
        <v>4.6087554413131345E-5</v>
      </c>
      <c r="F196" s="16">
        <f>+assessment!J196</f>
        <v>2377.1758476975801</v>
      </c>
      <c r="H196" s="40">
        <v>-1787.7233081261506</v>
      </c>
      <c r="J196" s="16">
        <f t="shared" si="3"/>
        <v>589.4525395714295</v>
      </c>
      <c r="M196" s="50"/>
    </row>
    <row r="197" spans="1:13" outlineLevel="1">
      <c r="A197" t="s">
        <v>321</v>
      </c>
      <c r="B197" t="s">
        <v>322</v>
      </c>
      <c r="D197" s="3">
        <f>+assessment!H197</f>
        <v>2.0682025887817484E-4</v>
      </c>
      <c r="F197" s="16">
        <f>+assessment!J197</f>
        <v>10667.698264320943</v>
      </c>
      <c r="H197" s="40">
        <v>-8022.5395775925663</v>
      </c>
      <c r="J197" s="16">
        <f t="shared" si="3"/>
        <v>2645.1586867283768</v>
      </c>
      <c r="M197" s="50"/>
    </row>
    <row r="198" spans="1:13" outlineLevel="1">
      <c r="A198" t="s">
        <v>323</v>
      </c>
      <c r="B198" t="s">
        <v>324</v>
      </c>
      <c r="D198" s="3">
        <f>+assessment!H198</f>
        <v>3.152165838346084E-5</v>
      </c>
      <c r="F198" s="16">
        <f>+assessment!J198</f>
        <v>1625.8733174869255</v>
      </c>
      <c r="H198" s="40">
        <v>-1222.7162868691407</v>
      </c>
      <c r="J198" s="16">
        <f t="shared" si="3"/>
        <v>403.15703061778481</v>
      </c>
      <c r="M198" s="50"/>
    </row>
    <row r="199" spans="1:13" outlineLevel="1">
      <c r="A199" t="s">
        <v>325</v>
      </c>
      <c r="B199" t="s">
        <v>326</v>
      </c>
      <c r="D199" s="3">
        <f>+assessment!H199</f>
        <v>1.5385241717108983E-4</v>
      </c>
      <c r="F199" s="16">
        <f>+assessment!J199</f>
        <v>7935.6402149384076</v>
      </c>
      <c r="H199" s="40">
        <v>-5968.0113535874043</v>
      </c>
      <c r="J199" s="16">
        <f t="shared" si="3"/>
        <v>1967.6288613510033</v>
      </c>
      <c r="M199" s="50"/>
    </row>
    <row r="200" spans="1:13" outlineLevel="1">
      <c r="A200" t="s">
        <v>327</v>
      </c>
      <c r="B200" t="s">
        <v>328</v>
      </c>
      <c r="D200" s="3">
        <f>+assessment!H200</f>
        <v>1.3287776057290442E-5</v>
      </c>
      <c r="F200" s="16">
        <f>+assessment!J200</f>
        <v>685.3776624781176</v>
      </c>
      <c r="H200" s="40">
        <v>-515.42910604106055</v>
      </c>
      <c r="J200" s="16">
        <f t="shared" si="3"/>
        <v>169.94855643705705</v>
      </c>
      <c r="M200" s="50"/>
    </row>
    <row r="201" spans="1:13" outlineLevel="1">
      <c r="A201" t="s">
        <v>329</v>
      </c>
      <c r="B201" t="s">
        <v>330</v>
      </c>
      <c r="D201" s="3">
        <f>+assessment!H201</f>
        <v>2.3095379017842673E-5</v>
      </c>
      <c r="F201" s="16">
        <f>+assessment!J201</f>
        <v>1191.2495226475794</v>
      </c>
      <c r="H201" s="40">
        <v>-895.86327384823812</v>
      </c>
      <c r="J201" s="16">
        <f t="shared" si="3"/>
        <v>295.38624879934127</v>
      </c>
      <c r="M201" s="50"/>
    </row>
    <row r="202" spans="1:13" outlineLevel="1">
      <c r="A202" t="s">
        <v>505</v>
      </c>
      <c r="B202" t="s">
        <v>503</v>
      </c>
      <c r="D202" s="3">
        <f>+assessment!H202</f>
        <v>6.3593643273741992E-6</v>
      </c>
      <c r="F202" s="16">
        <f>+assessment!J202</f>
        <v>328.01322348829729</v>
      </c>
      <c r="H202" s="40">
        <v>-246.67795845713314</v>
      </c>
      <c r="J202" s="16">
        <f t="shared" si="3"/>
        <v>81.335265031164141</v>
      </c>
      <c r="M202" s="50"/>
    </row>
    <row r="203" spans="1:13" outlineLevel="1">
      <c r="A203" t="s">
        <v>331</v>
      </c>
      <c r="B203" t="s">
        <v>332</v>
      </c>
      <c r="D203" s="3">
        <f>+assessment!H203</f>
        <v>4.9470700942621415E-5</v>
      </c>
      <c r="F203" s="16">
        <f>+assessment!J203</f>
        <v>2551.677062212756</v>
      </c>
      <c r="H203" s="40">
        <v>-1918.9943621016293</v>
      </c>
      <c r="J203" s="16">
        <f t="shared" si="3"/>
        <v>632.68270011112668</v>
      </c>
      <c r="M203" s="50"/>
    </row>
    <row r="204" spans="1:13" outlineLevel="1">
      <c r="A204" t="s">
        <v>333</v>
      </c>
      <c r="B204" t="s">
        <v>334</v>
      </c>
      <c r="D204" s="3">
        <f>+assessment!H204</f>
        <v>2.2540257547200822E-5</v>
      </c>
      <c r="F204" s="16">
        <f>+assessment!J204</f>
        <v>1162.6166006070864</v>
      </c>
      <c r="H204" s="40">
        <v>-874.33026771362597</v>
      </c>
      <c r="J204" s="16">
        <f t="shared" si="3"/>
        <v>288.28633289346044</v>
      </c>
      <c r="M204" s="50"/>
    </row>
    <row r="205" spans="1:13" outlineLevel="1">
      <c r="A205" t="s">
        <v>335</v>
      </c>
      <c r="B205" t="s">
        <v>336</v>
      </c>
      <c r="D205" s="3">
        <f>+assessment!H205</f>
        <v>1.5891584173929872E-5</v>
      </c>
      <c r="F205" s="16">
        <f>+assessment!J205</f>
        <v>819.68094339055835</v>
      </c>
      <c r="H205" s="40">
        <v>-616.43009251733019</v>
      </c>
      <c r="J205" s="16">
        <f t="shared" si="3"/>
        <v>203.25085087322816</v>
      </c>
      <c r="M205" s="50"/>
    </row>
    <row r="206" spans="1:13" outlineLevel="1">
      <c r="A206" t="s">
        <v>337</v>
      </c>
      <c r="B206" t="s">
        <v>338</v>
      </c>
      <c r="D206" s="3">
        <f>+assessment!H206</f>
        <v>3.7064235337763924E-6</v>
      </c>
      <c r="F206" s="16">
        <f>+assessment!J206</f>
        <v>191.17570064253098</v>
      </c>
      <c r="H206" s="40">
        <v>-143.77112922337412</v>
      </c>
      <c r="J206" s="16">
        <f t="shared" si="3"/>
        <v>47.404571419156866</v>
      </c>
      <c r="M206" s="50"/>
    </row>
    <row r="207" spans="1:13" outlineLevel="1">
      <c r="A207" t="s">
        <v>339</v>
      </c>
      <c r="B207" t="s">
        <v>340</v>
      </c>
      <c r="D207" s="3">
        <f>+assessment!H207</f>
        <v>1.1972466035722112E-4</v>
      </c>
      <c r="F207" s="16">
        <f>+assessment!J207</f>
        <v>6175.3454831591453</v>
      </c>
      <c r="H207" s="40">
        <v>-4644.1654905811038</v>
      </c>
      <c r="J207" s="16">
        <f t="shared" si="3"/>
        <v>1531.1799925780415</v>
      </c>
      <c r="M207" s="50"/>
    </row>
    <row r="208" spans="1:13" outlineLevel="1">
      <c r="A208" t="s">
        <v>341</v>
      </c>
      <c r="B208" t="s">
        <v>342</v>
      </c>
      <c r="D208" s="3">
        <f>+assessment!H208</f>
        <v>4.153407272631252E-5</v>
      </c>
      <c r="F208" s="16">
        <f>+assessment!J208</f>
        <v>2142.3092589476501</v>
      </c>
      <c r="H208" s="40">
        <v>-1611.0950307461458</v>
      </c>
      <c r="J208" s="16">
        <f t="shared" si="3"/>
        <v>531.21422820150428</v>
      </c>
      <c r="M208" s="50"/>
    </row>
    <row r="209" spans="1:13" outlineLevel="1">
      <c r="A209" t="s">
        <v>343</v>
      </c>
      <c r="B209" t="s">
        <v>344</v>
      </c>
      <c r="D209" s="3">
        <f>+assessment!H209</f>
        <v>3.8730085586701385E-5</v>
      </c>
      <c r="F209" s="16">
        <f>+assessment!J209</f>
        <v>1997.6808318068286</v>
      </c>
      <c r="H209" s="40">
        <v>-1502.4086543387175</v>
      </c>
      <c r="J209" s="16">
        <f t="shared" si="3"/>
        <v>495.27217746811107</v>
      </c>
      <c r="M209" s="50"/>
    </row>
    <row r="210" spans="1:13" outlineLevel="1">
      <c r="A210" t="s">
        <v>345</v>
      </c>
      <c r="B210" t="s">
        <v>346</v>
      </c>
      <c r="D210" s="3">
        <f>+assessment!H210</f>
        <v>5.3654900491851892E-4</v>
      </c>
      <c r="F210" s="16">
        <f>+assessment!J210</f>
        <v>27674.962402324039</v>
      </c>
      <c r="H210" s="40">
        <v>-20813.022638253795</v>
      </c>
      <c r="J210" s="16">
        <f t="shared" si="3"/>
        <v>6861.9397640702446</v>
      </c>
      <c r="M210" s="50"/>
    </row>
    <row r="211" spans="1:13" outlineLevel="1">
      <c r="A211" t="s">
        <v>486</v>
      </c>
      <c r="B211" t="s">
        <v>350</v>
      </c>
      <c r="D211" s="3">
        <f>+assessment!H211</f>
        <v>2.5319663660964616E-5</v>
      </c>
      <c r="F211" s="16">
        <f>+assessment!J211</f>
        <v>1305.9771492132361</v>
      </c>
      <c r="H211" s="40">
        <v>-982.14265124308918</v>
      </c>
      <c r="J211" s="16">
        <f t="shared" ref="J211:J260" si="4">SUM(F211:H211)</f>
        <v>323.83449797014691</v>
      </c>
      <c r="M211" s="50"/>
    </row>
    <row r="212" spans="1:13" outlineLevel="1">
      <c r="A212" t="s">
        <v>487</v>
      </c>
      <c r="B212" t="s">
        <v>351</v>
      </c>
      <c r="D212" s="3">
        <f>+assessment!H212</f>
        <v>1.3307065955506129E-5</v>
      </c>
      <c r="F212" s="16">
        <f>+assessment!J212</f>
        <v>686.37262696965524</v>
      </c>
      <c r="H212" s="40">
        <v>-516.17735578204235</v>
      </c>
      <c r="J212" s="16">
        <f t="shared" si="4"/>
        <v>170.19527118761289</v>
      </c>
      <c r="M212" s="50"/>
    </row>
    <row r="213" spans="1:13" outlineLevel="1">
      <c r="A213" t="s">
        <v>488</v>
      </c>
      <c r="B213" t="s">
        <v>347</v>
      </c>
      <c r="D213" s="3">
        <f>+assessment!H213</f>
        <v>6.7102119541550347E-6</v>
      </c>
      <c r="F213" s="16">
        <f>+assessment!J213</f>
        <v>346.10979023447692</v>
      </c>
      <c r="H213" s="40">
        <v>-260.28723948720108</v>
      </c>
      <c r="J213" s="16">
        <f t="shared" si="4"/>
        <v>85.822550747275841</v>
      </c>
      <c r="M213" s="50"/>
    </row>
    <row r="214" spans="1:13" outlineLevel="1">
      <c r="A214" t="s">
        <v>349</v>
      </c>
      <c r="B214" t="s">
        <v>348</v>
      </c>
      <c r="D214" s="3">
        <f>+assessment!H214</f>
        <v>2.1489165094260975E-4</v>
      </c>
      <c r="F214" s="16">
        <f>+assessment!J214</f>
        <v>11084.017127779789</v>
      </c>
      <c r="H214" s="40">
        <v>-8335.7061099547009</v>
      </c>
      <c r="J214" s="16">
        <f t="shared" si="4"/>
        <v>2748.3110178250881</v>
      </c>
      <c r="M214" s="50"/>
    </row>
    <row r="215" spans="1:13" outlineLevel="1">
      <c r="A215" t="s">
        <v>352</v>
      </c>
      <c r="B215" t="s">
        <v>353</v>
      </c>
      <c r="D215" s="3">
        <f>+assessment!H215</f>
        <v>1.0232720428321907E-4</v>
      </c>
      <c r="F215" s="16">
        <f>+assessment!J215</f>
        <v>5277.9923274726334</v>
      </c>
      <c r="H215" s="40">
        <v>-3969.323049483593</v>
      </c>
      <c r="J215" s="16">
        <f t="shared" si="4"/>
        <v>1308.6692779890404</v>
      </c>
      <c r="M215" s="50"/>
    </row>
    <row r="216" spans="1:13" outlineLevel="1">
      <c r="A216" t="s">
        <v>354</v>
      </c>
      <c r="B216" t="s">
        <v>355</v>
      </c>
      <c r="D216" s="3">
        <f>+assessment!H216</f>
        <v>8.2346477771952528E-6</v>
      </c>
      <c r="F216" s="16">
        <f>+assessment!J216</f>
        <v>424.73952153702731</v>
      </c>
      <c r="H216" s="40">
        <v>-319.41967745867896</v>
      </c>
      <c r="J216" s="16">
        <f t="shared" si="4"/>
        <v>105.31984407834835</v>
      </c>
      <c r="M216" s="50"/>
    </row>
    <row r="217" spans="1:13" outlineLevel="1">
      <c r="A217" t="s">
        <v>356</v>
      </c>
      <c r="B217" t="s">
        <v>357</v>
      </c>
      <c r="D217" s="3">
        <f>+assessment!H217</f>
        <v>1.1241476994189499E-5</v>
      </c>
      <c r="F217" s="16">
        <f>+assessment!J217</f>
        <v>579.83045408504711</v>
      </c>
      <c r="H217" s="40">
        <v>-436.05373936631884</v>
      </c>
      <c r="J217" s="16">
        <f t="shared" si="4"/>
        <v>143.77671471872827</v>
      </c>
      <c r="M217" s="50"/>
    </row>
    <row r="218" spans="1:13" outlineLevel="1">
      <c r="A218" t="s">
        <v>358</v>
      </c>
      <c r="B218" t="s">
        <v>359</v>
      </c>
      <c r="D218" s="3">
        <f>+assessment!H218</f>
        <v>3.2356878330995996E-4</v>
      </c>
      <c r="F218" s="16">
        <f>+assessment!J218</f>
        <v>16689.53596145194</v>
      </c>
      <c r="H218" s="40">
        <v>-12551.221841006725</v>
      </c>
      <c r="J218" s="16">
        <f t="shared" si="4"/>
        <v>4138.3141204452149</v>
      </c>
      <c r="M218" s="50"/>
    </row>
    <row r="219" spans="1:13" outlineLevel="1">
      <c r="A219" t="s">
        <v>360</v>
      </c>
      <c r="B219" t="s">
        <v>361</v>
      </c>
      <c r="D219" s="3">
        <f>+assessment!H219</f>
        <v>1.1037883154600891E-5</v>
      </c>
      <c r="F219" s="16">
        <f>+assessment!J219</f>
        <v>569.32917311292942</v>
      </c>
      <c r="H219" s="40">
        <v>-428.1563914407094</v>
      </c>
      <c r="J219" s="16">
        <f t="shared" si="4"/>
        <v>141.17278167222003</v>
      </c>
      <c r="M219" s="50"/>
    </row>
    <row r="220" spans="1:13" outlineLevel="1">
      <c r="A220" t="s">
        <v>362</v>
      </c>
      <c r="B220" t="s">
        <v>363</v>
      </c>
      <c r="D220" s="3">
        <f>+assessment!H220</f>
        <v>2.0677201500251836E-5</v>
      </c>
      <c r="F220" s="16">
        <f>+assessment!J220</f>
        <v>1066.5209866369039</v>
      </c>
      <c r="H220" s="40">
        <v>-802.06284623969077</v>
      </c>
      <c r="J220" s="16">
        <f t="shared" si="4"/>
        <v>264.45814039721313</v>
      </c>
      <c r="M220" s="50"/>
    </row>
    <row r="221" spans="1:13" outlineLevel="1">
      <c r="A221" t="s">
        <v>364</v>
      </c>
      <c r="B221" t="s">
        <v>365</v>
      </c>
      <c r="D221" s="3">
        <f>+assessment!H221</f>
        <v>2.7825945596580731E-5</v>
      </c>
      <c r="F221" s="16">
        <f>+assessment!J221</f>
        <v>1435.2500724727495</v>
      </c>
      <c r="H221" s="40">
        <v>-1079.3606245135484</v>
      </c>
      <c r="J221" s="16">
        <f t="shared" si="4"/>
        <v>355.88944795920111</v>
      </c>
      <c r="M221" s="50"/>
    </row>
    <row r="222" spans="1:13" outlineLevel="1">
      <c r="A222" t="s">
        <v>366</v>
      </c>
      <c r="B222" t="s">
        <v>367</v>
      </c>
      <c r="D222" s="3">
        <f>+assessment!H222</f>
        <v>2.2477562448053479E-5</v>
      </c>
      <c r="F222" s="16">
        <f>+assessment!J222</f>
        <v>1159.3828148842406</v>
      </c>
      <c r="H222" s="40">
        <v>-871.89834240365872</v>
      </c>
      <c r="J222" s="16">
        <f t="shared" si="4"/>
        <v>287.48447248058187</v>
      </c>
      <c r="M222" s="50"/>
    </row>
    <row r="223" spans="1:13" outlineLevel="1">
      <c r="A223" t="s">
        <v>368</v>
      </c>
      <c r="B223" t="s">
        <v>369</v>
      </c>
      <c r="D223" s="3">
        <f>+assessment!H223</f>
        <v>1.0152211605717398E-5</v>
      </c>
      <c r="F223" s="16">
        <f>+assessment!J223</f>
        <v>523.64662297963639</v>
      </c>
      <c r="H223" s="40">
        <v>-393.80144049039581</v>
      </c>
      <c r="J223" s="16">
        <f t="shared" si="4"/>
        <v>129.84518248924059</v>
      </c>
      <c r="M223" s="50"/>
    </row>
    <row r="224" spans="1:13" outlineLevel="1">
      <c r="A224" t="s">
        <v>370</v>
      </c>
      <c r="B224" t="s">
        <v>371</v>
      </c>
      <c r="D224" s="3">
        <f>+assessment!H224</f>
        <v>5.8517015699747306E-4</v>
      </c>
      <c r="F224" s="16">
        <f>+assessment!J224</f>
        <v>30182.820106667517</v>
      </c>
      <c r="H224" s="40">
        <v>-22699.182485662648</v>
      </c>
      <c r="J224" s="16">
        <f t="shared" si="4"/>
        <v>7483.6376210048693</v>
      </c>
      <c r="M224" s="50"/>
    </row>
    <row r="225" spans="1:13" outlineLevel="1">
      <c r="A225" t="s">
        <v>372</v>
      </c>
      <c r="B225" t="s">
        <v>373</v>
      </c>
      <c r="D225" s="3">
        <f>+assessment!H225</f>
        <v>3.4645191473053678E-5</v>
      </c>
      <c r="F225" s="16">
        <f>+assessment!J225</f>
        <v>1786.9837846100995</v>
      </c>
      <c r="H225" s="40">
        <v>-1343.9170083925101</v>
      </c>
      <c r="J225" s="16">
        <f t="shared" si="4"/>
        <v>443.06677621758945</v>
      </c>
      <c r="M225" s="50"/>
    </row>
    <row r="226" spans="1:13" outlineLevel="1">
      <c r="A226" t="s">
        <v>374</v>
      </c>
      <c r="B226" t="s">
        <v>375</v>
      </c>
      <c r="D226" s="3">
        <f>+assessment!H226</f>
        <v>1.1863231286662292E-5</v>
      </c>
      <c r="F226" s="16">
        <f>+assessment!J226</f>
        <v>611.9002678577541</v>
      </c>
      <c r="H226" s="40">
        <v>-460.17141397321922</v>
      </c>
      <c r="J226" s="16">
        <f t="shared" si="4"/>
        <v>151.72885388453489</v>
      </c>
      <c r="M226" s="50"/>
    </row>
    <row r="227" spans="1:13" outlineLevel="1">
      <c r="A227" t="s">
        <v>376</v>
      </c>
      <c r="B227" t="s">
        <v>377</v>
      </c>
      <c r="D227" s="3">
        <f>+assessment!H227</f>
        <v>1.5419220324387026E-5</v>
      </c>
      <c r="F227" s="16">
        <f>+assessment!J227</f>
        <v>795.31662315796279</v>
      </c>
      <c r="H227" s="40">
        <v>-598.10723129163227</v>
      </c>
      <c r="J227" s="16">
        <f t="shared" si="4"/>
        <v>197.20939186633052</v>
      </c>
      <c r="M227" s="50"/>
    </row>
    <row r="228" spans="1:13" outlineLevel="1">
      <c r="A228" t="s">
        <v>378</v>
      </c>
      <c r="B228" t="s">
        <v>379</v>
      </c>
      <c r="D228" s="3">
        <f>+assessment!H228</f>
        <v>4.8586181515829506E-5</v>
      </c>
      <c r="F228" s="16">
        <f>+assessment!J228</f>
        <v>2506.0539380317528</v>
      </c>
      <c r="H228" s="40">
        <v>-1884.6841017040365</v>
      </c>
      <c r="J228" s="16">
        <f t="shared" si="4"/>
        <v>621.36983632771626</v>
      </c>
      <c r="M228" s="50"/>
    </row>
    <row r="229" spans="1:13" outlineLevel="1">
      <c r="A229" t="s">
        <v>511</v>
      </c>
      <c r="B229" t="s">
        <v>512</v>
      </c>
      <c r="D229" s="3">
        <f>+assessment!H229</f>
        <v>5.9328161432765452E-6</v>
      </c>
      <c r="F229" s="16">
        <f>+assessment!J229</f>
        <v>306.01205518965355</v>
      </c>
      <c r="H229" s="40">
        <v>-230.13227404275335</v>
      </c>
      <c r="J229" s="16">
        <f t="shared" si="4"/>
        <v>75.8797811469002</v>
      </c>
      <c r="M229" s="50"/>
    </row>
    <row r="230" spans="1:13" outlineLevel="1">
      <c r="A230" t="s">
        <v>380</v>
      </c>
      <c r="B230" t="s">
        <v>381</v>
      </c>
      <c r="D230" s="3">
        <f>+assessment!H230</f>
        <v>1.1529964789147216E-4</v>
      </c>
      <c r="F230" s="16">
        <f>+assessment!J230</f>
        <v>5947.1052804995297</v>
      </c>
      <c r="H230" s="40">
        <v>-4472.560247311485</v>
      </c>
      <c r="J230" s="16">
        <f t="shared" si="4"/>
        <v>1474.5450331880447</v>
      </c>
      <c r="M230" s="50"/>
    </row>
    <row r="231" spans="1:13" outlineLevel="1">
      <c r="A231" t="s">
        <v>382</v>
      </c>
      <c r="B231" t="s">
        <v>383</v>
      </c>
      <c r="D231" s="3">
        <f>+assessment!H231</f>
        <v>3.7213116178930697E-5</v>
      </c>
      <c r="F231" s="16">
        <f>+assessment!J231</f>
        <v>1919.436214929932</v>
      </c>
      <c r="H231" s="40">
        <v>-1443.5260874193823</v>
      </c>
      <c r="J231" s="16">
        <f t="shared" si="4"/>
        <v>475.91012751054973</v>
      </c>
      <c r="M231" s="50"/>
    </row>
    <row r="232" spans="1:13" outlineLevel="1">
      <c r="A232" t="s">
        <v>384</v>
      </c>
      <c r="B232" t="s">
        <v>385</v>
      </c>
      <c r="D232" s="3">
        <f>+assessment!H232</f>
        <v>3.0158348199535152E-4</v>
      </c>
      <c r="F232" s="16">
        <f>+assessment!J232</f>
        <v>15555.543759979211</v>
      </c>
      <c r="H232" s="40">
        <v>-11698.418169992015</v>
      </c>
      <c r="J232" s="16">
        <f t="shared" si="4"/>
        <v>3857.1255899871958</v>
      </c>
      <c r="M232" s="50"/>
    </row>
    <row r="233" spans="1:13" s="50" customFormat="1" outlineLevel="1">
      <c r="A233" s="52" t="s">
        <v>564</v>
      </c>
      <c r="B233" s="52" t="s">
        <v>565</v>
      </c>
      <c r="D233" s="3">
        <f>+assessment!H233</f>
        <v>5.0720913216687328E-6</v>
      </c>
      <c r="F233" s="16">
        <f>+assessment!J233</f>
        <v>261.6162463103496</v>
      </c>
      <c r="H233" s="40">
        <v>-196.74499964589995</v>
      </c>
      <c r="J233" s="16">
        <f t="shared" si="4"/>
        <v>64.871246664449643</v>
      </c>
    </row>
    <row r="234" spans="1:13" outlineLevel="1">
      <c r="A234" t="s">
        <v>386</v>
      </c>
      <c r="B234" t="s">
        <v>387</v>
      </c>
      <c r="D234" s="3">
        <f>+assessment!H234</f>
        <v>1.3162335136144602E-5</v>
      </c>
      <c r="F234" s="16">
        <f>+assessment!J234</f>
        <v>678.90747477000468</v>
      </c>
      <c r="H234" s="40">
        <v>-510.5632878960044</v>
      </c>
      <c r="J234" s="16">
        <f t="shared" si="4"/>
        <v>168.34418687400029</v>
      </c>
      <c r="M234" s="50"/>
    </row>
    <row r="235" spans="1:13" outlineLevel="1">
      <c r="A235" t="s">
        <v>388</v>
      </c>
      <c r="B235" t="s">
        <v>389</v>
      </c>
      <c r="D235" s="3">
        <f>+assessment!H235</f>
        <v>1.8152802010016116E-5</v>
      </c>
      <c r="F235" s="16">
        <f>+assessment!J235</f>
        <v>936.31356785447781</v>
      </c>
      <c r="H235" s="40">
        <v>-704.14209810750435</v>
      </c>
      <c r="J235" s="16">
        <f t="shared" si="4"/>
        <v>232.17146974697346</v>
      </c>
      <c r="M235" s="50"/>
    </row>
    <row r="236" spans="1:13" outlineLevel="1">
      <c r="A236" t="s">
        <v>390</v>
      </c>
      <c r="B236" t="s">
        <v>391</v>
      </c>
      <c r="D236" s="3">
        <f>+assessment!H236</f>
        <v>9.9915229383937458E-6</v>
      </c>
      <c r="F236" s="16">
        <f>+assessment!J236</f>
        <v>515.35837197945614</v>
      </c>
      <c r="H236" s="40">
        <v>-387.56837215649125</v>
      </c>
      <c r="J236" s="16">
        <f t="shared" si="4"/>
        <v>127.78999982296489</v>
      </c>
      <c r="M236" s="50"/>
    </row>
    <row r="237" spans="1:13" outlineLevel="1">
      <c r="A237" t="s">
        <v>392</v>
      </c>
      <c r="B237" t="s">
        <v>393</v>
      </c>
      <c r="D237" s="3">
        <f>+assessment!H237</f>
        <v>2.9479190354645156E-4</v>
      </c>
      <c r="F237" s="16">
        <f>+assessment!J237</f>
        <v>15205.237121624185</v>
      </c>
      <c r="H237" s="40">
        <v>-11435.606549315838</v>
      </c>
      <c r="J237" s="16">
        <f t="shared" si="4"/>
        <v>3769.630572308346</v>
      </c>
      <c r="M237" s="50"/>
    </row>
    <row r="238" spans="1:13" outlineLevel="1">
      <c r="A238" t="s">
        <v>394</v>
      </c>
      <c r="B238" t="s">
        <v>395</v>
      </c>
      <c r="D238" s="3">
        <f>+assessment!H238</f>
        <v>1.2538667111525957E-5</v>
      </c>
      <c r="F238" s="16">
        <f>+assessment!J238</f>
        <v>646.73895153236708</v>
      </c>
      <c r="H238" s="40">
        <v>-486.37138015993514</v>
      </c>
      <c r="J238" s="16">
        <f t="shared" si="4"/>
        <v>160.36757137243194</v>
      </c>
      <c r="M238" s="50"/>
    </row>
    <row r="239" spans="1:13" outlineLevel="1">
      <c r="A239" t="s">
        <v>396</v>
      </c>
      <c r="B239" t="s">
        <v>397</v>
      </c>
      <c r="D239" s="3">
        <f>+assessment!H239</f>
        <v>1.4085625443191124E-4</v>
      </c>
      <c r="F239" s="16">
        <f>+assessment!J239</f>
        <v>7265.3038395389758</v>
      </c>
      <c r="H239" s="40">
        <v>-5463.9733447736244</v>
      </c>
      <c r="J239" s="16">
        <f t="shared" si="4"/>
        <v>1801.3304947653514</v>
      </c>
      <c r="M239" s="50"/>
    </row>
    <row r="240" spans="1:13" outlineLevel="1">
      <c r="A240" t="s">
        <v>398</v>
      </c>
      <c r="B240" t="s">
        <v>399</v>
      </c>
      <c r="D240" s="3">
        <f>+assessment!H240</f>
        <v>2.9504547382678332E-5</v>
      </c>
      <c r="F240" s="16">
        <f>+assessment!J240</f>
        <v>1521.8316165495664</v>
      </c>
      <c r="H240" s="40">
        <v>-1144.4731169484664</v>
      </c>
      <c r="J240" s="16">
        <f t="shared" si="4"/>
        <v>377.35849960109999</v>
      </c>
      <c r="M240" s="50"/>
    </row>
    <row r="241" spans="1:13" outlineLevel="1">
      <c r="A241" t="s">
        <v>400</v>
      </c>
      <c r="B241" t="s">
        <v>401</v>
      </c>
      <c r="D241" s="3">
        <f>+assessment!H241</f>
        <v>1.040139109020558E-3</v>
      </c>
      <c r="F241" s="16">
        <f>+assessment!J241</f>
        <v>53649.919152682465</v>
      </c>
      <c r="H241" s="40">
        <v>-40347.698006654937</v>
      </c>
      <c r="J241" s="16">
        <f t="shared" si="4"/>
        <v>13302.221146027528</v>
      </c>
      <c r="M241" s="50"/>
    </row>
    <row r="242" spans="1:13" outlineLevel="1">
      <c r="A242" t="s">
        <v>402</v>
      </c>
      <c r="B242" t="s">
        <v>403</v>
      </c>
      <c r="D242" s="3">
        <f>+assessment!H242</f>
        <v>2.7073888284682545E-4</v>
      </c>
      <c r="F242" s="16">
        <f>+assessment!J242</f>
        <v>13964.592860946517</v>
      </c>
      <c r="H242" s="40">
        <v>-10502.044319439719</v>
      </c>
      <c r="J242" s="16">
        <f t="shared" si="4"/>
        <v>3462.5485415067978</v>
      </c>
      <c r="M242" s="50"/>
    </row>
    <row r="243" spans="1:13" outlineLevel="1">
      <c r="A243" t="s">
        <v>404</v>
      </c>
      <c r="B243" t="s">
        <v>405</v>
      </c>
      <c r="D243" s="3">
        <f>+assessment!H243</f>
        <v>4.1113697286539073E-5</v>
      </c>
      <c r="F243" s="16">
        <f>+assessment!J243</f>
        <v>2120.6264780945621</v>
      </c>
      <c r="H243" s="40">
        <v>-1594.8285344779365</v>
      </c>
      <c r="J243" s="16">
        <f t="shared" si="4"/>
        <v>525.79794361662562</v>
      </c>
      <c r="M243" s="50"/>
    </row>
    <row r="244" spans="1:13" outlineLevel="1">
      <c r="A244" t="s">
        <v>406</v>
      </c>
      <c r="B244" t="s">
        <v>407</v>
      </c>
      <c r="D244" s="3">
        <f>+assessment!H244</f>
        <v>4.1881944968719413E-4</v>
      </c>
      <c r="F244" s="16">
        <f>+assessment!J244</f>
        <v>21602.52356672498</v>
      </c>
      <c r="H244" s="40">
        <v>-16246.405712789283</v>
      </c>
      <c r="J244" s="16">
        <f t="shared" si="4"/>
        <v>5356.117853935697</v>
      </c>
      <c r="M244" s="50"/>
    </row>
    <row r="245" spans="1:13" outlineLevel="1">
      <c r="A245" t="s">
        <v>408</v>
      </c>
      <c r="B245" t="s">
        <v>409</v>
      </c>
      <c r="D245" s="3">
        <f>+assessment!H245</f>
        <v>3.7929784696896118E-4</v>
      </c>
      <c r="F245" s="16">
        <f>+assessment!J245</f>
        <v>19564.0166283461</v>
      </c>
      <c r="H245" s="40">
        <v>-14712.976338151817</v>
      </c>
      <c r="J245" s="16">
        <f t="shared" si="4"/>
        <v>4851.0402901942834</v>
      </c>
      <c r="M245" s="50"/>
    </row>
    <row r="246" spans="1:13" outlineLevel="1">
      <c r="A246" t="s">
        <v>410</v>
      </c>
      <c r="B246" t="s">
        <v>411</v>
      </c>
      <c r="D246" s="3">
        <f>+assessment!H246</f>
        <v>6.5414581958886697E-6</v>
      </c>
      <c r="F246" s="16">
        <f>+assessment!J246</f>
        <v>337.40554537993324</v>
      </c>
      <c r="H246" s="40">
        <v>-253.74132853948092</v>
      </c>
      <c r="J246" s="16">
        <f t="shared" si="4"/>
        <v>83.664216840452326</v>
      </c>
      <c r="M246" s="50"/>
    </row>
    <row r="247" spans="1:13" outlineLevel="1">
      <c r="A247" t="s">
        <v>412</v>
      </c>
      <c r="B247" t="s">
        <v>413</v>
      </c>
      <c r="D247" s="3">
        <f>+assessment!H247</f>
        <v>1.6115555356279163E-5</v>
      </c>
      <c r="F247" s="16">
        <f>+assessment!J247</f>
        <v>831.23327876701103</v>
      </c>
      <c r="H247" s="40">
        <v>-625.11787185674405</v>
      </c>
      <c r="J247" s="16">
        <f t="shared" si="4"/>
        <v>206.11540691026698</v>
      </c>
      <c r="M247" s="50"/>
    </row>
    <row r="248" spans="1:13" outlineLevel="1">
      <c r="A248" t="s">
        <v>414</v>
      </c>
      <c r="B248" t="s">
        <v>415</v>
      </c>
      <c r="D248" s="3">
        <f>+assessment!H248</f>
        <v>1.8611256285885132E-4</v>
      </c>
      <c r="F248" s="16">
        <f>+assessment!J248</f>
        <v>9599.6043837618636</v>
      </c>
      <c r="H248" s="40">
        <v>-7219.5721015288382</v>
      </c>
      <c r="J248" s="16">
        <f t="shared" si="4"/>
        <v>2380.0322822330254</v>
      </c>
      <c r="M248" s="50"/>
    </row>
    <row r="249" spans="1:13" outlineLevel="1">
      <c r="A249" t="s">
        <v>416</v>
      </c>
      <c r="B249" t="s">
        <v>417</v>
      </c>
      <c r="D249" s="3">
        <f>+assessment!H249</f>
        <v>1.0741712076630504E-5</v>
      </c>
      <c r="F249" s="16">
        <f>+assessment!J249</f>
        <v>554.05279877927285</v>
      </c>
      <c r="H249" s="40">
        <v>-416.66799840223388</v>
      </c>
      <c r="J249" s="16">
        <f t="shared" si="4"/>
        <v>137.38480037703897</v>
      </c>
      <c r="M249" s="50"/>
    </row>
    <row r="250" spans="1:13" outlineLevel="1">
      <c r="A250" t="s">
        <v>418</v>
      </c>
      <c r="B250" t="s">
        <v>419</v>
      </c>
      <c r="D250" s="3">
        <f>+assessment!H250</f>
        <v>1.4528097310340725E-5</v>
      </c>
      <c r="F250" s="16">
        <f>+assessment!J250</f>
        <v>749.35288884198496</v>
      </c>
      <c r="H250" s="40">
        <v>-563.54081953678383</v>
      </c>
      <c r="J250" s="16">
        <f t="shared" si="4"/>
        <v>185.81206930520113</v>
      </c>
      <c r="M250" s="50"/>
    </row>
    <row r="251" spans="1:13" outlineLevel="1">
      <c r="A251" t="s">
        <v>420</v>
      </c>
      <c r="B251" t="s">
        <v>421</v>
      </c>
      <c r="D251" s="3">
        <f>+assessment!H251</f>
        <v>8.4655559294435643E-5</v>
      </c>
      <c r="F251" s="16">
        <f>+assessment!J251</f>
        <v>4366.4966277907952</v>
      </c>
      <c r="H251" s="40">
        <v>-3283.8051482755945</v>
      </c>
      <c r="J251" s="16">
        <f t="shared" si="4"/>
        <v>1082.6914795152006</v>
      </c>
      <c r="M251" s="50"/>
    </row>
    <row r="252" spans="1:13" outlineLevel="1">
      <c r="A252" t="s">
        <v>422</v>
      </c>
      <c r="B252" t="s">
        <v>423</v>
      </c>
      <c r="D252" s="3">
        <f>+assessment!H252</f>
        <v>4.807362383828497E-5</v>
      </c>
      <c r="F252" s="16">
        <f>+assessment!J252</f>
        <v>2479.6164377754217</v>
      </c>
      <c r="H252" s="40">
        <v>-1864.7623839856419</v>
      </c>
      <c r="J252" s="16">
        <f t="shared" si="4"/>
        <v>614.85405378977975</v>
      </c>
      <c r="M252" s="50"/>
    </row>
    <row r="253" spans="1:13" outlineLevel="1">
      <c r="A253" t="s">
        <v>424</v>
      </c>
      <c r="B253" t="s">
        <v>425</v>
      </c>
      <c r="D253" s="3">
        <f>+assessment!H253</f>
        <v>4.1535699403584108E-4</v>
      </c>
      <c r="F253" s="16">
        <f>+assessment!J253</f>
        <v>21423.931622480366</v>
      </c>
      <c r="H253" s="40">
        <v>-16111.780035553635</v>
      </c>
      <c r="J253" s="16">
        <f t="shared" si="4"/>
        <v>5312.1515869267314</v>
      </c>
      <c r="M253" s="50"/>
    </row>
    <row r="254" spans="1:13" outlineLevel="1">
      <c r="A254" t="s">
        <v>426</v>
      </c>
      <c r="B254" t="s">
        <v>427</v>
      </c>
      <c r="D254" s="3">
        <f>+assessment!H254</f>
        <v>3.2268676649979323E-6</v>
      </c>
      <c r="F254" s="16">
        <f>+assessment!J254</f>
        <v>166.44041921139092</v>
      </c>
      <c r="H254" s="40">
        <v>-125.16929158888236</v>
      </c>
      <c r="J254" s="16">
        <f t="shared" si="4"/>
        <v>41.271127622508558</v>
      </c>
      <c r="M254" s="50"/>
    </row>
    <row r="255" spans="1:13" outlineLevel="1">
      <c r="A255" t="s">
        <v>428</v>
      </c>
      <c r="B255" t="s">
        <v>429</v>
      </c>
      <c r="D255" s="3">
        <f>+assessment!H255</f>
        <v>4.9336770912790408E-5</v>
      </c>
      <c r="F255" s="16">
        <f>+assessment!J255</f>
        <v>2544.7690100010518</v>
      </c>
      <c r="H255" s="40">
        <v>-1913.839002984183</v>
      </c>
      <c r="J255" s="16">
        <f t="shared" si="4"/>
        <v>630.93000701686879</v>
      </c>
      <c r="M255" s="50"/>
    </row>
    <row r="256" spans="1:13" outlineLevel="1">
      <c r="A256" t="s">
        <v>430</v>
      </c>
      <c r="B256" t="s">
        <v>431</v>
      </c>
      <c r="D256" s="3">
        <f>+assessment!H256</f>
        <v>6.6027641744074029E-6</v>
      </c>
      <c r="F256" s="16">
        <f>+assessment!J256</f>
        <v>340.56768086987097</v>
      </c>
      <c r="H256" s="40">
        <v>-256.1193702498926</v>
      </c>
      <c r="J256" s="16">
        <f t="shared" si="4"/>
        <v>84.448310619978372</v>
      </c>
      <c r="M256" s="50"/>
    </row>
    <row r="257" spans="1:13" outlineLevel="1">
      <c r="A257" t="s">
        <v>432</v>
      </c>
      <c r="B257" t="s">
        <v>433</v>
      </c>
      <c r="D257" s="3">
        <f>+assessment!H257</f>
        <v>1.9471461437699336E-4</v>
      </c>
      <c r="F257" s="16">
        <f>+assessment!J257</f>
        <v>10043.294429154059</v>
      </c>
      <c r="H257" s="40">
        <v>-7553.0047723197131</v>
      </c>
      <c r="J257" s="16">
        <f t="shared" si="4"/>
        <v>2490.2896568343458</v>
      </c>
      <c r="M257" s="50"/>
    </row>
    <row r="258" spans="1:13" outlineLevel="1">
      <c r="A258" t="s">
        <v>434</v>
      </c>
      <c r="B258" t="s">
        <v>435</v>
      </c>
      <c r="D258" s="3">
        <f>+assessment!H258</f>
        <v>4.5433303286461151E-6</v>
      </c>
      <c r="F258" s="16">
        <f>+assessment!J258</f>
        <v>234.34298614665079</v>
      </c>
      <c r="H258" s="40">
        <v>-176.23450904401693</v>
      </c>
      <c r="J258" s="16">
        <f t="shared" si="4"/>
        <v>58.108477102633856</v>
      </c>
      <c r="M258" s="50"/>
    </row>
    <row r="259" spans="1:13" outlineLevel="1">
      <c r="A259" s="50" t="s">
        <v>569</v>
      </c>
      <c r="B259" s="50" t="s">
        <v>570</v>
      </c>
      <c r="D259" s="3">
        <f>+assessment!H259</f>
        <v>3.0268917864753226E-5</v>
      </c>
      <c r="F259" s="16">
        <f>+assessment!J259</f>
        <v>1561.2575108461767</v>
      </c>
      <c r="H259" s="40">
        <v>-1174.1625826712909</v>
      </c>
      <c r="J259" s="16">
        <f>SUM(F259:H259)</f>
        <v>387.09492817488581</v>
      </c>
      <c r="M259" s="50"/>
    </row>
    <row r="260" spans="1:13" outlineLevel="1">
      <c r="A260" t="s">
        <v>436</v>
      </c>
      <c r="B260" t="s">
        <v>437</v>
      </c>
      <c r="D260" s="3">
        <f>+assessment!H260</f>
        <v>3.594042373137056E-5</v>
      </c>
      <c r="F260" s="16">
        <f>+assessment!J260</f>
        <v>1853.7912965476914</v>
      </c>
      <c r="H260" s="40">
        <v>-1394.1587043144648</v>
      </c>
      <c r="J260" s="16">
        <f t="shared" si="4"/>
        <v>459.63259223322666</v>
      </c>
      <c r="M260" s="50"/>
    </row>
    <row r="261" spans="1:13" outlineLevel="1">
      <c r="A261" t="s">
        <v>438</v>
      </c>
      <c r="B261" t="s">
        <v>439</v>
      </c>
      <c r="D261" s="24">
        <f>+assessment!H261</f>
        <v>1.0558499630613088E-5</v>
      </c>
      <c r="F261" s="20">
        <f>+assessment!J261</f>
        <v>544.60278115052006</v>
      </c>
      <c r="H261" s="48">
        <v>-409.56123901230944</v>
      </c>
      <c r="J261" s="20">
        <f>SUM(F261:H261)</f>
        <v>135.04154213821062</v>
      </c>
      <c r="M261" s="50"/>
    </row>
    <row r="262" spans="1:13">
      <c r="B262" t="s">
        <v>483</v>
      </c>
      <c r="D262" s="3">
        <f>SUBTOTAL(9,D140:D261)</f>
        <v>1.7876523607456892E-2</v>
      </c>
      <c r="F262" s="16">
        <f>SUBTOTAL(9,F140:F261)</f>
        <v>922063.24899578933</v>
      </c>
      <c r="H262" s="16">
        <f>SUBTOTAL(9,H140:H261)</f>
        <v>-693437.63555857399</v>
      </c>
      <c r="J262" s="16">
        <f>SUBTOTAL(9,J140:J261)</f>
        <v>228625.61343721539</v>
      </c>
    </row>
    <row r="263" spans="1:13">
      <c r="D263" s="7"/>
      <c r="F263" s="20"/>
      <c r="H263" s="20"/>
      <c r="J263" s="20"/>
    </row>
    <row r="264" spans="1:13">
      <c r="D264" s="8">
        <f>SUBTOTAL(9,D4:D263)</f>
        <v>0.99557888863438226</v>
      </c>
      <c r="F264" s="16">
        <f>SUBTOTAL(9,F4:F263)</f>
        <v>51579561.510000028</v>
      </c>
      <c r="H264" s="16">
        <f>SUBTOTAL(9,H4:H263)</f>
        <v>-38791979.915558599</v>
      </c>
      <c r="J264" s="16">
        <f>SUBTOTAL(9,J4:J263)</f>
        <v>12787581.594441414</v>
      </c>
    </row>
    <row r="265" spans="1:13">
      <c r="F265" s="16"/>
    </row>
    <row r="266" spans="1:13">
      <c r="F266" s="16"/>
    </row>
    <row r="267" spans="1:13">
      <c r="D267" s="35" t="s">
        <v>580</v>
      </c>
      <c r="F267" s="16">
        <f>assessment!J267</f>
        <v>43000000</v>
      </c>
      <c r="H267" s="16">
        <f>+$H$264*(F267/$F$272)</f>
        <v>-32339459.420290444</v>
      </c>
      <c r="J267" s="16">
        <f>SUM(F267:H267)</f>
        <v>10660540.579709556</v>
      </c>
    </row>
    <row r="268" spans="1:13">
      <c r="D268" s="9" t="s">
        <v>507</v>
      </c>
      <c r="F268" s="16">
        <f>assessment!J268</f>
        <v>-2958302.63</v>
      </c>
      <c r="H268" s="16">
        <f>+$H$264*(F268/$F$272)</f>
        <v>2224881.5780424066</v>
      </c>
      <c r="J268" s="16">
        <f>SUM(F268:H268)</f>
        <v>-733421.0519575933</v>
      </c>
    </row>
    <row r="269" spans="1:13">
      <c r="D269" s="35" t="s">
        <v>561</v>
      </c>
      <c r="F269" s="16">
        <f>assessment!J269</f>
        <v>13225634</v>
      </c>
      <c r="H269" s="16">
        <f>+$H$264*(F269/$F$272)</f>
        <v>-9946740.7918747347</v>
      </c>
      <c r="J269" s="16">
        <f>SUM(F269:H269)</f>
        <v>3278893.2081252653</v>
      </c>
    </row>
    <row r="270" spans="1:13">
      <c r="D270" s="9" t="s">
        <v>507</v>
      </c>
      <c r="F270" s="16">
        <f>assessment!J270</f>
        <v>-1687769.86</v>
      </c>
      <c r="H270" s="16">
        <f>+$H$264*(F270/$F$272)</f>
        <v>1269338.7185641695</v>
      </c>
      <c r="J270" s="16">
        <f>SUM(F270:H270)</f>
        <v>-418431.14143583062</v>
      </c>
    </row>
    <row r="271" spans="1:13">
      <c r="F271" s="16"/>
      <c r="H271" s="16"/>
    </row>
    <row r="272" spans="1:13" ht="13.5" thickBot="1">
      <c r="F272" s="17">
        <f>SUM(F267:F271)</f>
        <v>51579561.509999998</v>
      </c>
      <c r="H272" s="17">
        <f>SUM(H267:H271)</f>
        <v>-38791979.915558606</v>
      </c>
      <c r="J272" s="17">
        <f>SUM(J267:J271)</f>
        <v>12787581.594441399</v>
      </c>
    </row>
    <row r="273" spans="6:8" ht="13.5" thickTop="1"/>
    <row r="275" spans="6:8">
      <c r="F275" s="16"/>
    </row>
    <row r="276" spans="6:8">
      <c r="F276" s="16"/>
    </row>
    <row r="277" spans="6:8">
      <c r="F277" s="16"/>
    </row>
    <row r="278" spans="6:8">
      <c r="F278" s="16"/>
      <c r="H278">
        <f>38838196.28</f>
        <v>38838196.280000001</v>
      </c>
    </row>
    <row r="279" spans="6:8">
      <c r="F279" s="16"/>
    </row>
    <row r="281" spans="6:8">
      <c r="F281" s="16"/>
    </row>
  </sheetData>
  <phoneticPr fontId="8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2018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4"/>
  <sheetViews>
    <sheetView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D11" sqref="D11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52" customWidth="1"/>
    <col min="16" max="16" width="12.85546875" bestFit="1" customWidth="1"/>
    <col min="17" max="17" width="1.5703125" customWidth="1"/>
    <col min="18" max="18" width="10" style="52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456</v>
      </c>
      <c r="H1" s="1" t="s">
        <v>0</v>
      </c>
      <c r="J1" s="1"/>
      <c r="O1" s="1" t="s">
        <v>579</v>
      </c>
      <c r="R1" s="1" t="s">
        <v>579</v>
      </c>
    </row>
    <row r="2" spans="1:24">
      <c r="A2" s="19" t="s">
        <v>460</v>
      </c>
      <c r="B2" s="19"/>
      <c r="C2" s="1" t="s">
        <v>508</v>
      </c>
      <c r="D2" s="1" t="s">
        <v>469</v>
      </c>
      <c r="E2" s="1" t="s">
        <v>468</v>
      </c>
      <c r="F2" s="1" t="s">
        <v>457</v>
      </c>
      <c r="H2" s="1" t="s">
        <v>3</v>
      </c>
      <c r="J2" s="1" t="s">
        <v>3</v>
      </c>
      <c r="L2" s="1" t="s">
        <v>4</v>
      </c>
      <c r="O2" s="1" t="s">
        <v>581</v>
      </c>
      <c r="R2" s="1" t="s">
        <v>581</v>
      </c>
    </row>
    <row r="3" spans="1:24">
      <c r="A3" s="11" t="s">
        <v>458</v>
      </c>
      <c r="B3" s="11" t="s">
        <v>459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466</v>
      </c>
      <c r="Q3" s="11"/>
      <c r="R3" s="11" t="s">
        <v>5</v>
      </c>
      <c r="S3" s="11" t="s">
        <v>466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45"/>
      <c r="R4" s="45"/>
    </row>
    <row r="5" spans="1:24">
      <c r="A5" t="s">
        <v>7</v>
      </c>
      <c r="B5" t="s">
        <v>515</v>
      </c>
      <c r="C5" s="3">
        <f>+payroll!G5</f>
        <v>2.7770330358553885E-3</v>
      </c>
      <c r="D5" s="3">
        <f>+IFR!T5</f>
        <v>2.6403345434479909E-3</v>
      </c>
      <c r="E5" s="3">
        <f>+claims!R5</f>
        <v>2.4742225081323798E-4</v>
      </c>
      <c r="F5" s="3">
        <f>+costs!L5</f>
        <v>1.9168925766592426E-4</v>
      </c>
      <c r="H5" s="3">
        <f>(C5*$C$3)+(D5*$D$3)+(E5*$E$3)+(F5*$F$3)</f>
        <v>8.2929783963446254E-4</v>
      </c>
      <c r="J5" s="16">
        <f t="shared" ref="J5:J36" si="0">(+H5*$J$272)</f>
        <v>42774.818929535875</v>
      </c>
      <c r="L5" s="6">
        <f>+J5/payroll!F5</f>
        <v>1.6543516965300191E-3</v>
      </c>
      <c r="O5" s="40">
        <v>42891.23910215572</v>
      </c>
      <c r="P5" s="16">
        <f t="shared" ref="P5:P65" si="1">+J5-O5</f>
        <v>-116.42017261984438</v>
      </c>
      <c r="R5" s="55">
        <v>8.2930296329203378E-4</v>
      </c>
      <c r="S5" s="3">
        <f t="shared" ref="S5:S54" si="2">+H5-R5</f>
        <v>-5.123657571240621E-9</v>
      </c>
    </row>
    <row r="6" spans="1:24">
      <c r="A6" t="s">
        <v>8</v>
      </c>
      <c r="B6" t="s">
        <v>516</v>
      </c>
      <c r="C6" s="3">
        <f>+payroll!G6</f>
        <v>3.1785741251535967E-3</v>
      </c>
      <c r="D6" s="3">
        <f>+IFR!T6</f>
        <v>4.0149792961261949E-3</v>
      </c>
      <c r="E6" s="3">
        <f>+claims!R6</f>
        <v>0</v>
      </c>
      <c r="F6" s="3">
        <f>+costs!L6</f>
        <v>0</v>
      </c>
      <c r="H6" s="3">
        <f t="shared" ref="H6:H55" si="3">(C6*$C$3)+(D6*$D$3)+(E6*$E$3)+(F6*$F$3)</f>
        <v>8.9919417765997394E-4</v>
      </c>
      <c r="J6" s="16">
        <f t="shared" si="0"/>
        <v>46380.041396046494</v>
      </c>
      <c r="L6" s="6">
        <f>+J6/payroll!F6</f>
        <v>1.5671822195094671E-3</v>
      </c>
      <c r="O6" s="40">
        <v>46505.98656994824</v>
      </c>
      <c r="P6" s="16">
        <f t="shared" si="1"/>
        <v>-125.94517390174587</v>
      </c>
      <c r="R6" s="55">
        <v>8.9919417765991268E-4</v>
      </c>
      <c r="S6" s="3">
        <f t="shared" si="2"/>
        <v>6.1257422745431001E-17</v>
      </c>
    </row>
    <row r="7" spans="1:24">
      <c r="A7" t="s">
        <v>9</v>
      </c>
      <c r="B7" t="s">
        <v>10</v>
      </c>
      <c r="C7" s="3">
        <f>+payroll!G7</f>
        <v>2.7844268335331648E-3</v>
      </c>
      <c r="D7" s="3">
        <f>+IFR!T7</f>
        <v>2.1172181238998705E-3</v>
      </c>
      <c r="E7" s="3">
        <f>+claims!R7</f>
        <v>1.4845335048794281E-4</v>
      </c>
      <c r="F7" s="3">
        <f>+costs!L7</f>
        <v>3.1113226405472825E-5</v>
      </c>
      <c r="H7" s="3">
        <f t="shared" si="3"/>
        <v>6.5364155809560461E-4</v>
      </c>
      <c r="J7" s="16">
        <f t="shared" si="0"/>
        <v>33714.544951284479</v>
      </c>
      <c r="L7" s="6">
        <f>+J7/payroll!F7</f>
        <v>1.3004755737865816E-3</v>
      </c>
      <c r="O7" s="40">
        <v>33806.255919188094</v>
      </c>
      <c r="P7" s="16">
        <f t="shared" si="1"/>
        <v>-91.710967903614801</v>
      </c>
      <c r="R7" s="55">
        <v>6.5364463229467462E-4</v>
      </c>
      <c r="S7" s="3">
        <f t="shared" si="2"/>
        <v>-3.0741990700040162E-9</v>
      </c>
    </row>
    <row r="8" spans="1:24">
      <c r="A8" t="s">
        <v>11</v>
      </c>
      <c r="B8" t="s">
        <v>12</v>
      </c>
      <c r="C8" s="3">
        <f>+payroll!G8</f>
        <v>1.4534498338072072E-3</v>
      </c>
      <c r="D8" s="3">
        <f>+IFR!T8</f>
        <v>8.0268645365389661E-4</v>
      </c>
      <c r="E8" s="3">
        <f>+claims!R8</f>
        <v>4.9484450162647599E-5</v>
      </c>
      <c r="F8" s="3">
        <f>+costs!L8</f>
        <v>3.3645511288660451E-5</v>
      </c>
      <c r="H8" s="3">
        <f t="shared" si="3"/>
        <v>3.0962701023023136E-4</v>
      </c>
      <c r="J8" s="16">
        <f t="shared" si="0"/>
        <v>15970.425419327617</v>
      </c>
      <c r="L8" s="6">
        <f>+J8/payroll!F8</f>
        <v>1.1801498240120647E-3</v>
      </c>
      <c r="O8" s="40">
        <v>16013.846167348669</v>
      </c>
      <c r="P8" s="16">
        <f t="shared" si="1"/>
        <v>-43.420748021051622</v>
      </c>
      <c r="R8" s="55">
        <v>3.0962803496198269E-4</v>
      </c>
      <c r="S8" s="3">
        <f t="shared" si="2"/>
        <v>-1.0247317513306133E-9</v>
      </c>
    </row>
    <row r="9" spans="1:24">
      <c r="A9" t="s">
        <v>13</v>
      </c>
      <c r="B9" t="s">
        <v>14</v>
      </c>
      <c r="C9" s="3">
        <f>+payroll!G9</f>
        <v>1.4471944876838782E-4</v>
      </c>
      <c r="D9" s="3">
        <f>+IFR!T9</f>
        <v>1.3494502990117548E-4</v>
      </c>
      <c r="E9" s="3">
        <f>+claims!R9</f>
        <v>4.9484450162647599E-5</v>
      </c>
      <c r="F9" s="3">
        <f>+costs!L9</f>
        <v>1.1389363098426364E-5</v>
      </c>
      <c r="H9" s="3">
        <f t="shared" si="3"/>
        <v>4.9214345217148365E-5</v>
      </c>
      <c r="J9" s="16">
        <f t="shared" si="0"/>
        <v>2538.4543463022783</v>
      </c>
      <c r="L9" s="6">
        <f>+J9/payroll!F9</f>
        <v>1.8839230725287443E-3</v>
      </c>
      <c r="O9" s="40">
        <v>2545.4005272724444</v>
      </c>
      <c r="P9" s="16">
        <f t="shared" si="1"/>
        <v>-6.9461809701660968</v>
      </c>
      <c r="R9" s="55">
        <v>4.9215369950131587E-5</v>
      </c>
      <c r="S9" s="3">
        <f t="shared" si="2"/>
        <v>-1.0247329832214504E-9</v>
      </c>
    </row>
    <row r="10" spans="1:24">
      <c r="A10" t="s">
        <v>15</v>
      </c>
      <c r="B10" t="s">
        <v>16</v>
      </c>
      <c r="C10" s="3">
        <f>+payroll!G10</f>
        <v>2.3574216359009654E-4</v>
      </c>
      <c r="D10" s="3">
        <f>+IFR!T10</f>
        <v>1.5445968129369723E-4</v>
      </c>
      <c r="E10" s="3">
        <f>+claims!R10</f>
        <v>4.9484450162647599E-5</v>
      </c>
      <c r="F10" s="3">
        <f>+costs!L10</f>
        <v>0</v>
      </c>
      <c r="H10" s="3">
        <f t="shared" si="3"/>
        <v>5.6197898134871356E-5</v>
      </c>
      <c r="J10" s="16">
        <f t="shared" si="0"/>
        <v>2898.6629435803111</v>
      </c>
      <c r="L10" s="6">
        <f>+J10/payroll!F10</f>
        <v>1.3206300071021211E-3</v>
      </c>
      <c r="O10" s="40">
        <v>2906.5872723601328</v>
      </c>
      <c r="P10" s="16">
        <f t="shared" si="1"/>
        <v>-7.9243287798217352</v>
      </c>
      <c r="R10" s="55">
        <v>5.6198922868470337E-5</v>
      </c>
      <c r="S10" s="3">
        <f t="shared" si="2"/>
        <v>-1.0247335989805218E-9</v>
      </c>
    </row>
    <row r="11" spans="1:24">
      <c r="A11" t="s">
        <v>17</v>
      </c>
      <c r="B11" t="s">
        <v>18</v>
      </c>
      <c r="C11" s="3">
        <f>+payroll!G11</f>
        <v>6.3985588789135261E-4</v>
      </c>
      <c r="D11" s="3">
        <f>+IFR!T11</f>
        <v>3.9780716315446414E-4</v>
      </c>
      <c r="E11" s="3">
        <f>+claims!R11</f>
        <v>0</v>
      </c>
      <c r="F11" s="3">
        <f>+costs!L11</f>
        <v>0</v>
      </c>
      <c r="H11" s="3">
        <f t="shared" si="3"/>
        <v>1.2970788138072709E-4</v>
      </c>
      <c r="J11" s="16">
        <f t="shared" si="0"/>
        <v>6690.2756460089968</v>
      </c>
      <c r="L11" s="6">
        <f>+J11/payroll!F11</f>
        <v>1.1230072199354267E-3</v>
      </c>
      <c r="O11" s="40">
        <v>6708.4431142629328</v>
      </c>
      <c r="P11" s="16">
        <f t="shared" si="1"/>
        <v>-18.167468253936022</v>
      </c>
      <c r="R11" s="55">
        <v>1.2970788138071479E-4</v>
      </c>
      <c r="S11" s="3">
        <f t="shared" si="2"/>
        <v>1.2305694657710475E-17</v>
      </c>
      <c r="V11" t="s">
        <v>566</v>
      </c>
    </row>
    <row r="12" spans="1:24">
      <c r="A12" t="s">
        <v>19</v>
      </c>
      <c r="B12" t="s">
        <v>20</v>
      </c>
      <c r="C12" s="3">
        <f>+payroll!G12</f>
        <v>1.3027309008106837E-4</v>
      </c>
      <c r="D12" s="3">
        <f>+IFR!T12</f>
        <v>1.1238052359113612E-4</v>
      </c>
      <c r="E12" s="3">
        <f>+claims!R12</f>
        <v>0</v>
      </c>
      <c r="F12" s="3">
        <f>+costs!L12</f>
        <v>0</v>
      </c>
      <c r="H12" s="3">
        <f t="shared" si="3"/>
        <v>3.033170170902556E-5</v>
      </c>
      <c r="J12" s="16">
        <f t="shared" si="0"/>
        <v>1564.4958740036559</v>
      </c>
      <c r="L12" s="6">
        <f>+J12/payroll!F12</f>
        <v>1.2898535845399001E-3</v>
      </c>
      <c r="O12" s="40">
        <v>1568.7442683342331</v>
      </c>
      <c r="P12" s="16">
        <f t="shared" si="1"/>
        <v>-4.2483943305771845</v>
      </c>
      <c r="R12" s="55">
        <v>3.0331701709023053E-5</v>
      </c>
      <c r="S12" s="3">
        <f t="shared" si="2"/>
        <v>2.507217523872729E-18</v>
      </c>
    </row>
    <row r="13" spans="1:24">
      <c r="A13" t="s">
        <v>21</v>
      </c>
      <c r="B13" t="s">
        <v>22</v>
      </c>
      <c r="C13" s="3">
        <f>+payroll!G13</f>
        <v>6.2738606145831865E-4</v>
      </c>
      <c r="D13" s="3">
        <f>+IFR!T13</f>
        <v>3.633305423477439E-4</v>
      </c>
      <c r="E13" s="3">
        <f>+claims!R13</f>
        <v>0</v>
      </c>
      <c r="F13" s="3">
        <f>+costs!L13</f>
        <v>0</v>
      </c>
      <c r="H13" s="3">
        <f t="shared" si="3"/>
        <v>1.238395754757578E-4</v>
      </c>
      <c r="J13" s="16">
        <f t="shared" si="0"/>
        <v>6387.5910006241365</v>
      </c>
      <c r="L13" s="6">
        <f>+J13/payroll!F13</f>
        <v>1.0935104610652285E-3</v>
      </c>
      <c r="O13" s="40">
        <v>6404.9365276043409</v>
      </c>
      <c r="P13" s="16">
        <f t="shared" si="1"/>
        <v>-17.34552698020434</v>
      </c>
      <c r="R13" s="55">
        <v>1.2383957547574572E-4</v>
      </c>
      <c r="S13" s="3">
        <f t="shared" si="2"/>
        <v>1.2088854223213374E-17</v>
      </c>
    </row>
    <row r="14" spans="1:24">
      <c r="A14" t="s">
        <v>23</v>
      </c>
      <c r="B14" t="s">
        <v>24</v>
      </c>
      <c r="C14" s="3">
        <f>+payroll!G14</f>
        <v>1.7517744088585494E-3</v>
      </c>
      <c r="D14" s="3">
        <f>+IFR!T14</f>
        <v>1.1661053975934525E-3</v>
      </c>
      <c r="E14" s="3">
        <f>+claims!R14</f>
        <v>9.8968900325295198E-5</v>
      </c>
      <c r="F14" s="3">
        <f>+costs!L14</f>
        <v>9.6573825309602138E-5</v>
      </c>
      <c r="H14" s="3">
        <f t="shared" si="3"/>
        <v>4.3752460604105583E-4</v>
      </c>
      <c r="J14" s="16">
        <f t="shared" si="0"/>
        <v>22567.327329433156</v>
      </c>
      <c r="L14" s="6">
        <f>+J14/payroll!F14</f>
        <v>1.3836385647600876E-3</v>
      </c>
      <c r="O14" s="40">
        <v>22628.714987645642</v>
      </c>
      <c r="P14" s="16">
        <f t="shared" si="1"/>
        <v>-61.387658212486713</v>
      </c>
      <c r="R14" s="55">
        <v>4.3752665550299302E-4</v>
      </c>
      <c r="S14" s="3">
        <f t="shared" si="2"/>
        <v>-2.0494619371817097E-9</v>
      </c>
    </row>
    <row r="15" spans="1:24">
      <c r="A15" t="s">
        <v>25</v>
      </c>
      <c r="B15" t="s">
        <v>26</v>
      </c>
      <c r="C15" s="3">
        <f>+payroll!G15</f>
        <v>4.1216697325475933E-5</v>
      </c>
      <c r="D15" s="3">
        <f>+IFR!T15</f>
        <v>2.0487068902454904E-5</v>
      </c>
      <c r="E15" s="3">
        <f>+claims!R15</f>
        <v>0</v>
      </c>
      <c r="F15" s="3">
        <f>+costs!L15</f>
        <v>0</v>
      </c>
      <c r="H15" s="3">
        <f t="shared" si="3"/>
        <v>7.7129707784913547E-6</v>
      </c>
      <c r="J15" s="16">
        <f t="shared" si="0"/>
        <v>397.83165069402742</v>
      </c>
      <c r="L15" s="6">
        <f>+J15/payroll!F15</f>
        <v>1.0366850849501937E-3</v>
      </c>
      <c r="O15" s="40">
        <v>398.9119640124606</v>
      </c>
      <c r="P15" s="16">
        <f t="shared" si="1"/>
        <v>-1.0803133184331841</v>
      </c>
      <c r="R15" s="55">
        <v>7.7129707784905602E-6</v>
      </c>
      <c r="S15" s="3">
        <f t="shared" si="2"/>
        <v>7.9451690452453372E-19</v>
      </c>
    </row>
    <row r="16" spans="1:24">
      <c r="A16" t="s">
        <v>548</v>
      </c>
      <c r="B16" t="s">
        <v>549</v>
      </c>
      <c r="C16" s="3">
        <f>+payroll!G16</f>
        <v>9.1861780416797761E-5</v>
      </c>
      <c r="D16" s="3">
        <f>+IFR!T16</f>
        <v>6.9085844001158615E-5</v>
      </c>
      <c r="E16" s="3">
        <f>+claims!R16</f>
        <v>0</v>
      </c>
      <c r="F16" s="3">
        <f>+costs!L16</f>
        <v>0</v>
      </c>
      <c r="H16" s="3">
        <f>(C16*$C$3)+(D16*$D$3)+(E16*$E$3)+(F16*$F$3)</f>
        <v>2.0118453052244547E-5</v>
      </c>
      <c r="J16" s="16">
        <f t="shared" si="0"/>
        <v>1037.7009866942949</v>
      </c>
      <c r="L16" s="6">
        <f>+J16/payroll!F16</f>
        <v>1.2132717311314474E-3</v>
      </c>
      <c r="O16" s="40">
        <v>1040.518867560555</v>
      </c>
      <c r="P16" s="16">
        <f>+J16-O16</f>
        <v>-2.8178808662601114</v>
      </c>
      <c r="R16" s="55">
        <v>2.0118453052242778E-5</v>
      </c>
      <c r="S16" s="3">
        <f>+H16-R16</f>
        <v>1.7686047938669791E-18</v>
      </c>
    </row>
    <row r="17" spans="1:19">
      <c r="A17" t="s">
        <v>27</v>
      </c>
      <c r="B17" t="s">
        <v>517</v>
      </c>
      <c r="C17" s="3">
        <f>+payroll!G17</f>
        <v>4.5468495224223289E-4</v>
      </c>
      <c r="D17" s="3">
        <f>+IFR!T17</f>
        <v>2.3404321432254308E-4</v>
      </c>
      <c r="E17" s="3">
        <f>+claims!R17</f>
        <v>0</v>
      </c>
      <c r="F17" s="3">
        <f>+costs!L17</f>
        <v>0</v>
      </c>
      <c r="H17" s="3">
        <f t="shared" si="3"/>
        <v>8.6091020820596996E-5</v>
      </c>
      <c r="J17" s="16">
        <f t="shared" si="0"/>
        <v>4440.5371038746734</v>
      </c>
      <c r="L17" s="6">
        <f>+J17/payroll!F17</f>
        <v>1.0489278809151037E-3</v>
      </c>
      <c r="O17" s="40">
        <v>4452.595398799037</v>
      </c>
      <c r="P17" s="16">
        <f t="shared" si="1"/>
        <v>-12.058294924363508</v>
      </c>
      <c r="R17" s="55">
        <v>8.6091020820588241E-5</v>
      </c>
      <c r="S17" s="3">
        <f t="shared" si="2"/>
        <v>8.7549325428204483E-18</v>
      </c>
    </row>
    <row r="18" spans="1:19">
      <c r="A18" t="s">
        <v>28</v>
      </c>
      <c r="B18" t="s">
        <v>518</v>
      </c>
      <c r="C18" s="3">
        <f>+payroll!G18</f>
        <v>3.4630417089576398E-4</v>
      </c>
      <c r="D18" s="3">
        <f>+IFR!T18</f>
        <v>1.97157650138943E-4</v>
      </c>
      <c r="E18" s="3">
        <f>+claims!R18</f>
        <v>4.9484450162647599E-5</v>
      </c>
      <c r="F18" s="3">
        <f>+costs!L18</f>
        <v>6.1553598611173492E-6</v>
      </c>
      <c r="H18" s="3">
        <f t="shared" si="3"/>
        <v>7.9048611070405925E-5</v>
      </c>
      <c r="J18" s="16">
        <f t="shared" si="0"/>
        <v>4077.2926969860691</v>
      </c>
      <c r="L18" s="6">
        <f>+J18/payroll!F18</f>
        <v>1.2645467059334327E-3</v>
      </c>
      <c r="O18" s="40">
        <v>4088.4175992019723</v>
      </c>
      <c r="P18" s="16">
        <f t="shared" si="1"/>
        <v>-11.124902215903148</v>
      </c>
      <c r="R18" s="55">
        <v>7.904963580366904E-5</v>
      </c>
      <c r="S18" s="3">
        <f t="shared" si="2"/>
        <v>-1.0247332631150175E-9</v>
      </c>
    </row>
    <row r="19" spans="1:19">
      <c r="A19" t="s">
        <v>29</v>
      </c>
      <c r="B19" t="s">
        <v>519</v>
      </c>
      <c r="C19" s="3">
        <f>+payroll!G19</f>
        <v>3.2023099560567821E-4</v>
      </c>
      <c r="D19" s="3">
        <f>+IFR!T19</f>
        <v>1.7901322341950886E-4</v>
      </c>
      <c r="E19" s="3">
        <f>+claims!R19</f>
        <v>4.9484450162647599E-5</v>
      </c>
      <c r="F19" s="3">
        <f>+costs!L19</f>
        <v>1.024129997228276E-4</v>
      </c>
      <c r="H19" s="3">
        <f t="shared" si="3"/>
        <v>1.3127599473624209E-4</v>
      </c>
      <c r="J19" s="16">
        <f t="shared" si="0"/>
        <v>6771.158245284435</v>
      </c>
      <c r="L19" s="6">
        <f>+J19/payroll!F19</f>
        <v>2.2710165834215535E-3</v>
      </c>
      <c r="O19" s="40">
        <v>6789.5983490876306</v>
      </c>
      <c r="P19" s="16">
        <f t="shared" si="1"/>
        <v>-18.440103803195598</v>
      </c>
      <c r="R19" s="55">
        <v>1.3127701946428675E-4</v>
      </c>
      <c r="S19" s="3">
        <f t="shared" si="2"/>
        <v>-1.024728044660226E-9</v>
      </c>
    </row>
    <row r="20" spans="1:19">
      <c r="A20" t="s">
        <v>30</v>
      </c>
      <c r="B20" t="s">
        <v>520</v>
      </c>
      <c r="C20" s="3">
        <f>+payroll!G20</f>
        <v>3.4695747400495535E-4</v>
      </c>
      <c r="D20" s="3">
        <f>+IFR!T20</f>
        <v>1.8040554849054947E-4</v>
      </c>
      <c r="E20" s="3">
        <f>+claims!R20</f>
        <v>0</v>
      </c>
      <c r="F20" s="3">
        <f>+costs!L20</f>
        <v>0</v>
      </c>
      <c r="H20" s="3">
        <f t="shared" si="3"/>
        <v>6.5920377811938099E-5</v>
      </c>
      <c r="J20" s="16">
        <f t="shared" si="0"/>
        <v>3400.1441821133003</v>
      </c>
      <c r="L20" s="6">
        <f>+J20/payroll!F20</f>
        <v>1.0525477174809206E-3</v>
      </c>
      <c r="O20" s="40">
        <v>3409.3772862117912</v>
      </c>
      <c r="P20" s="16">
        <f t="shared" si="1"/>
        <v>-9.2331040984909123</v>
      </c>
      <c r="R20" s="55">
        <v>6.5920377811931418E-5</v>
      </c>
      <c r="S20" s="3">
        <f t="shared" si="2"/>
        <v>6.6813958879419211E-18</v>
      </c>
    </row>
    <row r="21" spans="1:19">
      <c r="A21" t="s">
        <v>31</v>
      </c>
      <c r="B21" t="s">
        <v>521</v>
      </c>
      <c r="C21" s="3">
        <f>+payroll!G21</f>
        <v>6.2924493113037684E-4</v>
      </c>
      <c r="D21" s="3">
        <f>+IFR!T21</f>
        <v>3.2067677429840419E-4</v>
      </c>
      <c r="E21" s="3">
        <f>+claims!R21</f>
        <v>0</v>
      </c>
      <c r="F21" s="3">
        <f>+costs!L21</f>
        <v>0</v>
      </c>
      <c r="H21" s="3">
        <f t="shared" si="3"/>
        <v>1.1874021317859762E-4</v>
      </c>
      <c r="J21" s="16">
        <f t="shared" si="0"/>
        <v>6124.5681293559883</v>
      </c>
      <c r="L21" s="6">
        <f>+J21/payroll!F21</f>
        <v>1.0453854516013217E-3</v>
      </c>
      <c r="O21" s="40">
        <v>6141.1994167567136</v>
      </c>
      <c r="P21" s="16">
        <f t="shared" si="1"/>
        <v>-16.631287400725341</v>
      </c>
      <c r="R21" s="55">
        <v>1.1874021317858551E-4</v>
      </c>
      <c r="S21" s="3">
        <f t="shared" si="2"/>
        <v>1.2115959277525512E-17</v>
      </c>
    </row>
    <row r="22" spans="1:19">
      <c r="A22" t="s">
        <v>32</v>
      </c>
      <c r="B22" t="s">
        <v>522</v>
      </c>
      <c r="C22" s="3">
        <f>+payroll!G22</f>
        <v>1.5732586416948168E-4</v>
      </c>
      <c r="D22" s="3">
        <f>+IFR!T22</f>
        <v>8.048964934491991E-5</v>
      </c>
      <c r="E22" s="3">
        <f>+claims!R22</f>
        <v>0</v>
      </c>
      <c r="F22" s="3">
        <f>+costs!L22</f>
        <v>0</v>
      </c>
      <c r="H22" s="3">
        <f t="shared" si="3"/>
        <v>2.9726939189300197E-5</v>
      </c>
      <c r="J22" s="16">
        <f t="shared" si="0"/>
        <v>1533.302488418539</v>
      </c>
      <c r="L22" s="6">
        <f>+J22/payroll!F22</f>
        <v>1.0467631419217767E-3</v>
      </c>
      <c r="O22" s="40">
        <v>1537.4661769951927</v>
      </c>
      <c r="P22" s="16">
        <f t="shared" si="1"/>
        <v>-4.1636885766536125</v>
      </c>
      <c r="R22" s="55">
        <v>2.9726939189297168E-5</v>
      </c>
      <c r="S22" s="3">
        <f t="shared" si="2"/>
        <v>3.028989819381378E-18</v>
      </c>
    </row>
    <row r="23" spans="1:19">
      <c r="A23" t="s">
        <v>33</v>
      </c>
      <c r="B23" t="s">
        <v>523</v>
      </c>
      <c r="C23" s="3">
        <f>+payroll!G23</f>
        <v>1.8761553695468503E-4</v>
      </c>
      <c r="D23" s="3">
        <f>+IFR!T23</f>
        <v>1.0137452541052929E-4</v>
      </c>
      <c r="E23" s="3">
        <f>+claims!R23</f>
        <v>4.9484450162647599E-5</v>
      </c>
      <c r="F23" s="3">
        <f>+costs!L23</f>
        <v>0</v>
      </c>
      <c r="H23" s="3">
        <f t="shared" si="3"/>
        <v>4.3546425320048928E-5</v>
      </c>
      <c r="J23" s="16">
        <f t="shared" si="0"/>
        <v>2246.1055233360848</v>
      </c>
      <c r="L23" s="6">
        <f>+J23/payroll!F23</f>
        <v>1.2858255841675292E-3</v>
      </c>
      <c r="O23" s="40">
        <v>2252.2578300283976</v>
      </c>
      <c r="P23" s="16">
        <f t="shared" si="1"/>
        <v>-6.1523066923127772</v>
      </c>
      <c r="R23" s="55">
        <v>4.3547450053648837E-5</v>
      </c>
      <c r="S23" s="3">
        <f t="shared" si="2"/>
        <v>-1.0247335999088699E-9</v>
      </c>
    </row>
    <row r="24" spans="1:19">
      <c r="A24" t="s">
        <v>34</v>
      </c>
      <c r="B24" t="s">
        <v>524</v>
      </c>
      <c r="C24" s="3">
        <f>+payroll!G24</f>
        <v>1.5748589622220446E-4</v>
      </c>
      <c r="D24" s="3">
        <f>+IFR!T24</f>
        <v>8.9793916883143789E-5</v>
      </c>
      <c r="E24" s="3">
        <f>+claims!R24</f>
        <v>0</v>
      </c>
      <c r="F24" s="3">
        <f>+costs!L24</f>
        <v>0</v>
      </c>
      <c r="H24" s="3">
        <f t="shared" si="3"/>
        <v>3.0909976638168529E-5</v>
      </c>
      <c r="J24" s="16">
        <f t="shared" si="0"/>
        <v>1594.3230412810765</v>
      </c>
      <c r="L24" s="6">
        <f>+J24/payroll!F24</f>
        <v>1.087314961201094E-3</v>
      </c>
      <c r="O24" s="40">
        <v>1598.652431394657</v>
      </c>
      <c r="P24" s="16">
        <f t="shared" si="1"/>
        <v>-4.3293901135805299</v>
      </c>
      <c r="R24" s="55">
        <v>3.09099766381655E-5</v>
      </c>
      <c r="S24" s="3">
        <f t="shared" si="2"/>
        <v>3.028989819381378E-18</v>
      </c>
    </row>
    <row r="25" spans="1:19">
      <c r="A25" t="s">
        <v>35</v>
      </c>
      <c r="B25" t="s">
        <v>525</v>
      </c>
      <c r="C25" s="3">
        <f>+payroll!G25</f>
        <v>1.9983249430671971E-4</v>
      </c>
      <c r="D25" s="3">
        <f>+IFR!T25</f>
        <v>1.0634711494996006E-4</v>
      </c>
      <c r="E25" s="3">
        <f>+claims!R25</f>
        <v>0</v>
      </c>
      <c r="F25" s="3">
        <f>+costs!L25</f>
        <v>4.2212971224249741E-5</v>
      </c>
      <c r="H25" s="3">
        <f t="shared" si="3"/>
        <v>6.3600233891634821E-5</v>
      </c>
      <c r="J25" s="16">
        <f t="shared" si="0"/>
        <v>3280.472176063965</v>
      </c>
      <c r="L25" s="6">
        <f>+J25/payroll!F25</f>
        <v>1.7631568827897834E-3</v>
      </c>
      <c r="O25" s="40">
        <v>3289.3803102693059</v>
      </c>
      <c r="P25" s="16">
        <f t="shared" si="1"/>
        <v>-8.9081342053409571</v>
      </c>
      <c r="R25" s="55">
        <v>6.3600233889342234E-5</v>
      </c>
      <c r="S25" s="3">
        <f t="shared" si="2"/>
        <v>2.2925861513020673E-15</v>
      </c>
    </row>
    <row r="26" spans="1:19">
      <c r="A26" t="s">
        <v>36</v>
      </c>
      <c r="B26" t="s">
        <v>526</v>
      </c>
      <c r="C26" s="3">
        <f>+payroll!G26</f>
        <v>1.4741354684640515E-4</v>
      </c>
      <c r="D26" s="3">
        <f>+IFR!T26</f>
        <v>8.3274299487001146E-5</v>
      </c>
      <c r="E26" s="3">
        <f>+claims!R26</f>
        <v>0</v>
      </c>
      <c r="F26" s="3">
        <f>+costs!L26</f>
        <v>0</v>
      </c>
      <c r="H26" s="3">
        <f t="shared" si="3"/>
        <v>2.8835980791675785E-5</v>
      </c>
      <c r="J26" s="16">
        <f t="shared" si="0"/>
        <v>1487.3472449454196</v>
      </c>
      <c r="L26" s="6">
        <f>+J26/payroll!F26</f>
        <v>1.0836665928692876E-3</v>
      </c>
      <c r="O26" s="40">
        <v>1491.3861418885087</v>
      </c>
      <c r="P26" s="16">
        <f t="shared" si="1"/>
        <v>-4.0388969430891848</v>
      </c>
      <c r="R26" s="55">
        <v>2.8835980791672946E-5</v>
      </c>
      <c r="S26" s="3">
        <f t="shared" si="2"/>
        <v>2.8392544391964147E-18</v>
      </c>
    </row>
    <row r="27" spans="1:19">
      <c r="A27" t="s">
        <v>37</v>
      </c>
      <c r="B27" t="s">
        <v>527</v>
      </c>
      <c r="C27" s="3">
        <f>+payroll!G27</f>
        <v>1.5390425554660374E-4</v>
      </c>
      <c r="D27" s="3">
        <f>+IFR!T27</f>
        <v>1.0232484252250939E-4</v>
      </c>
      <c r="E27" s="3">
        <f>+claims!R27</f>
        <v>4.9484450162647599E-5</v>
      </c>
      <c r="F27" s="3">
        <f>+costs!L27</f>
        <v>0</v>
      </c>
      <c r="H27" s="3">
        <f t="shared" si="3"/>
        <v>3.9451304783036278E-5</v>
      </c>
      <c r="J27" s="16">
        <f t="shared" si="0"/>
        <v>2034.8810017063768</v>
      </c>
      <c r="L27" s="6">
        <f>+J27/payroll!F27</f>
        <v>1.4200678529766254E-3</v>
      </c>
      <c r="O27" s="40">
        <v>2040.459727429218</v>
      </c>
      <c r="P27" s="16">
        <f t="shared" si="1"/>
        <v>-5.5787257228412273</v>
      </c>
      <c r="R27" s="55">
        <v>3.9452329516636837E-5</v>
      </c>
      <c r="S27" s="3">
        <f t="shared" si="2"/>
        <v>-1.0247336005593912E-9</v>
      </c>
    </row>
    <row r="28" spans="1:19">
      <c r="A28" t="s">
        <v>38</v>
      </c>
      <c r="B28" t="s">
        <v>528</v>
      </c>
      <c r="C28" s="3">
        <f>+payroll!G28</f>
        <v>1.6269400386994227E-4</v>
      </c>
      <c r="D28" s="3">
        <f>+IFR!T28</f>
        <v>8.0334946559248741E-5</v>
      </c>
      <c r="E28" s="3">
        <f>+claims!R28</f>
        <v>0</v>
      </c>
      <c r="F28" s="3">
        <f>+costs!L28</f>
        <v>0</v>
      </c>
      <c r="H28" s="3">
        <f t="shared" si="3"/>
        <v>3.0378618803648879E-5</v>
      </c>
      <c r="J28" s="16">
        <f t="shared" si="0"/>
        <v>1566.9158371716499</v>
      </c>
      <c r="L28" s="6">
        <f>+J28/payroll!F28</f>
        <v>1.0344150496128836E-3</v>
      </c>
      <c r="O28" s="40">
        <v>1571.1708029211254</v>
      </c>
      <c r="P28" s="16">
        <f t="shared" si="1"/>
        <v>-4.2549657494755593</v>
      </c>
      <c r="R28" s="55">
        <v>3.0378618803645748E-5</v>
      </c>
      <c r="S28" s="3">
        <f t="shared" si="2"/>
        <v>3.1306337730518941E-18</v>
      </c>
    </row>
    <row r="29" spans="1:19">
      <c r="A29" t="s">
        <v>39</v>
      </c>
      <c r="B29" t="s">
        <v>529</v>
      </c>
      <c r="C29" s="3">
        <f>+payroll!G29</f>
        <v>2.5870431649127851E-4</v>
      </c>
      <c r="D29" s="3">
        <f>+IFR!T29</f>
        <v>1.6973105627923803E-4</v>
      </c>
      <c r="E29" s="3">
        <f>+claims!R29</f>
        <v>0</v>
      </c>
      <c r="F29" s="3">
        <f>+costs!L29</f>
        <v>8.3135356404832294E-8</v>
      </c>
      <c r="H29" s="3">
        <f t="shared" si="3"/>
        <v>5.3604302810157466E-5</v>
      </c>
      <c r="J29" s="16">
        <f t="shared" si="0"/>
        <v>2764.8864339971828</v>
      </c>
      <c r="L29" s="6">
        <f>+J29/payroll!F29</f>
        <v>1.1478742938797611E-3</v>
      </c>
      <c r="O29" s="40">
        <v>2772.3944933316025</v>
      </c>
      <c r="P29" s="16">
        <f t="shared" si="1"/>
        <v>-7.5080593344196132</v>
      </c>
      <c r="R29" s="55">
        <v>5.3604302810147979E-5</v>
      </c>
      <c r="S29" s="3">
        <f t="shared" si="2"/>
        <v>9.4867690092481638E-18</v>
      </c>
    </row>
    <row r="30" spans="1:19">
      <c r="A30" t="s">
        <v>40</v>
      </c>
      <c r="B30" t="s">
        <v>530</v>
      </c>
      <c r="C30" s="3">
        <f>+payroll!G30</f>
        <v>4.7889234068063921E-4</v>
      </c>
      <c r="D30" s="3">
        <f>+IFR!T30</f>
        <v>2.2940213075240765E-4</v>
      </c>
      <c r="E30" s="3">
        <f>+claims!R30</f>
        <v>9.8968900325295198E-5</v>
      </c>
      <c r="F30" s="3">
        <f>+costs!L30</f>
        <v>1.471723888408538E-3</v>
      </c>
      <c r="H30" s="3">
        <f t="shared" si="3"/>
        <v>9.8641647702304774E-4</v>
      </c>
      <c r="J30" s="16">
        <f t="shared" si="0"/>
        <v>50878.929351087791</v>
      </c>
      <c r="L30" s="6">
        <f>+J30/payroll!F30</f>
        <v>1.1410923144972754E-2</v>
      </c>
      <c r="O30" s="40">
        <v>51017.197265419636</v>
      </c>
      <c r="P30" s="16">
        <f t="shared" si="1"/>
        <v>-138.26791433184553</v>
      </c>
      <c r="R30" s="55">
        <v>9.8641852641045079E-4</v>
      </c>
      <c r="S30" s="3">
        <f t="shared" si="2"/>
        <v>-2.0493874030528408E-9</v>
      </c>
    </row>
    <row r="31" spans="1:19">
      <c r="A31" t="s">
        <v>41</v>
      </c>
      <c r="B31" t="s">
        <v>531</v>
      </c>
      <c r="C31" s="3">
        <f>+payroll!G31</f>
        <v>9.9051314363923313E-3</v>
      </c>
      <c r="D31" s="3">
        <f>+IFR!T31</f>
        <v>3.2922741826642982E-3</v>
      </c>
      <c r="E31" s="3">
        <f>+claims!R31</f>
        <v>9.8968900325295198E-5</v>
      </c>
      <c r="F31" s="3">
        <f>+costs!L31</f>
        <v>2.2404999334941403E-2</v>
      </c>
      <c r="H31" s="3">
        <f t="shared" si="3"/>
        <v>1.5107520638395714E-2</v>
      </c>
      <c r="J31" s="16">
        <f t="shared" si="0"/>
        <v>779239.29003172612</v>
      </c>
      <c r="L31" s="6">
        <f>+J31/payroll!F31</f>
        <v>8.4495057674020737E-3</v>
      </c>
      <c r="O31" s="40">
        <v>781355.42313994782</v>
      </c>
      <c r="P31" s="16">
        <f t="shared" si="1"/>
        <v>-2116.133108221693</v>
      </c>
      <c r="R31" s="55">
        <v>1.5107522686647962E-2</v>
      </c>
      <c r="S31" s="3">
        <f t="shared" si="2"/>
        <v>-2.0482522483655785E-9</v>
      </c>
    </row>
    <row r="32" spans="1:19">
      <c r="A32" t="s">
        <v>42</v>
      </c>
      <c r="B32" t="s">
        <v>43</v>
      </c>
      <c r="C32" s="3">
        <f>+payroll!G32</f>
        <v>9.2769900737670559E-5</v>
      </c>
      <c r="D32" s="3">
        <f>+IFR!T32</f>
        <v>6.9351048776594899E-5</v>
      </c>
      <c r="E32" s="3">
        <f>+claims!R32</f>
        <v>0</v>
      </c>
      <c r="F32" s="3">
        <f>+costs!L32</f>
        <v>0</v>
      </c>
      <c r="H32" s="3">
        <f t="shared" si="3"/>
        <v>2.0265118689283184E-5</v>
      </c>
      <c r="J32" s="16">
        <f t="shared" si="0"/>
        <v>1045.2659359413326</v>
      </c>
      <c r="L32" s="6">
        <f>+J32/payroll!F32</f>
        <v>1.2101533658881454E-3</v>
      </c>
      <c r="O32" s="40">
        <v>1048.1043594552439</v>
      </c>
      <c r="P32" s="16">
        <f t="shared" si="1"/>
        <v>-2.8384235139112661</v>
      </c>
      <c r="R32" s="55">
        <v>2.0265118689281395E-5</v>
      </c>
      <c r="S32" s="3">
        <f t="shared" si="2"/>
        <v>1.7889335846010823E-18</v>
      </c>
    </row>
    <row r="33" spans="1:19">
      <c r="A33" t="s">
        <v>44</v>
      </c>
      <c r="B33" t="s">
        <v>45</v>
      </c>
      <c r="C33" s="3">
        <f>+payroll!G33</f>
        <v>6.1210639797179461E-5</v>
      </c>
      <c r="D33" s="3">
        <f>+IFR!T33</f>
        <v>5.3040955087261889E-5</v>
      </c>
      <c r="E33" s="3">
        <f>+claims!R33</f>
        <v>0</v>
      </c>
      <c r="F33" s="3">
        <f>+costs!L33</f>
        <v>0</v>
      </c>
      <c r="H33" s="3">
        <f t="shared" si="3"/>
        <v>1.4281449360555169E-5</v>
      </c>
      <c r="J33" s="16">
        <f t="shared" si="0"/>
        <v>736.63089574470541</v>
      </c>
      <c r="L33" s="6">
        <f>+J33/payroll!F33</f>
        <v>1.2925391864764054E-3</v>
      </c>
      <c r="O33" s="40">
        <v>738.63121966579149</v>
      </c>
      <c r="P33" s="16">
        <f t="shared" si="1"/>
        <v>-2.0003239210860784</v>
      </c>
      <c r="R33" s="55">
        <v>1.428144936055399E-5</v>
      </c>
      <c r="S33" s="3">
        <f t="shared" si="2"/>
        <v>1.1790698625779861E-18</v>
      </c>
    </row>
    <row r="34" spans="1:19">
      <c r="A34" t="s">
        <v>46</v>
      </c>
      <c r="B34" t="s">
        <v>47</v>
      </c>
      <c r="C34" s="3">
        <f>+payroll!G34</f>
        <v>1.9378367463122152E-3</v>
      </c>
      <c r="D34" s="3">
        <f>+IFR!T34</f>
        <v>1.3158355937252023E-3</v>
      </c>
      <c r="E34" s="3">
        <f>+claims!R34</f>
        <v>1.979378006505904E-4</v>
      </c>
      <c r="F34" s="3">
        <f>+costs!L34</f>
        <v>1.6956630677497356E-5</v>
      </c>
      <c r="H34" s="3">
        <f t="shared" si="3"/>
        <v>4.4657369100876417E-4</v>
      </c>
      <c r="J34" s="16">
        <f t="shared" si="0"/>
        <v>23034.075164134283</v>
      </c>
      <c r="L34" s="6">
        <f>+J34/payroll!F34</f>
        <v>1.2766572039922947E-3</v>
      </c>
      <c r="O34" s="40">
        <v>23096.836275718262</v>
      </c>
      <c r="P34" s="16">
        <f t="shared" si="1"/>
        <v>-62.761111583979073</v>
      </c>
      <c r="R34" s="55">
        <v>4.4657778994222158E-4</v>
      </c>
      <c r="S34" s="3">
        <f t="shared" si="2"/>
        <v>-4.0989334574095815E-9</v>
      </c>
    </row>
    <row r="35" spans="1:19">
      <c r="A35" t="s">
        <v>48</v>
      </c>
      <c r="B35" t="s">
        <v>49</v>
      </c>
      <c r="C35" s="3">
        <f>+payroll!G35</f>
        <v>2.2788149902933881E-2</v>
      </c>
      <c r="D35" s="3">
        <f>+IFR!T35</f>
        <v>2.1828982965764677E-2</v>
      </c>
      <c r="E35" s="3">
        <f>+claims!R35</f>
        <v>2.7711292091082661E-3</v>
      </c>
      <c r="F35" s="3">
        <f>+costs!L35</f>
        <v>5.4038882597383774E-3</v>
      </c>
      <c r="H35" s="3">
        <f t="shared" si="3"/>
        <v>9.2351439457965864E-3</v>
      </c>
      <c r="J35" s="16">
        <f t="shared" si="0"/>
        <v>476344.67520591913</v>
      </c>
      <c r="L35" s="6">
        <f>+J35/payroll!F35</f>
        <v>2.2450858607080599E-3</v>
      </c>
      <c r="O35" s="40">
        <v>477641.15885255614</v>
      </c>
      <c r="P35" s="16">
        <f t="shared" si="1"/>
        <v>-1296.4836466370034</v>
      </c>
      <c r="R35" s="55">
        <v>9.2352013305849537E-3</v>
      </c>
      <c r="S35" s="3">
        <f t="shared" si="2"/>
        <v>-5.7384788367323414E-8</v>
      </c>
    </row>
    <row r="36" spans="1:19">
      <c r="A36" t="s">
        <v>50</v>
      </c>
      <c r="B36" t="s">
        <v>497</v>
      </c>
      <c r="C36" s="3">
        <f>+payroll!G36</f>
        <v>1.6725728729687676E-3</v>
      </c>
      <c r="D36" s="3">
        <f>+IFR!T36</f>
        <v>1.6234952336292741E-3</v>
      </c>
      <c r="E36" s="3">
        <f>+claims!R36</f>
        <v>8.4123565276500933E-4</v>
      </c>
      <c r="F36" s="3">
        <f>+costs!L36</f>
        <v>6.2840515855416737E-4</v>
      </c>
      <c r="H36" s="3">
        <f t="shared" si="3"/>
        <v>9.1523695637200702E-4</v>
      </c>
      <c r="J36" s="16">
        <f t="shared" si="0"/>
        <v>47207.520887415121</v>
      </c>
      <c r="L36" s="6">
        <f>+J36/payroll!F36</f>
        <v>3.0314251731938177E-3</v>
      </c>
      <c r="O36" s="40">
        <v>47336.614063433008</v>
      </c>
      <c r="P36" s="16">
        <f t="shared" si="1"/>
        <v>-129.09317601788644</v>
      </c>
      <c r="R36" s="55">
        <v>9.1525437680916341E-4</v>
      </c>
      <c r="S36" s="3">
        <f t="shared" si="2"/>
        <v>-1.7420437156386373E-8</v>
      </c>
    </row>
    <row r="37" spans="1:19">
      <c r="A37" t="s">
        <v>51</v>
      </c>
      <c r="B37" t="s">
        <v>52</v>
      </c>
      <c r="C37" s="3">
        <f>+payroll!G37</f>
        <v>1.8553526667176606E-2</v>
      </c>
      <c r="D37" s="3">
        <f>+IFR!T37</f>
        <v>1.432558845514108E-2</v>
      </c>
      <c r="E37" s="3">
        <f>+claims!R37</f>
        <v>2.375253607807085E-3</v>
      </c>
      <c r="F37" s="3">
        <f>+costs!L37</f>
        <v>4.2724946761991227E-3</v>
      </c>
      <c r="H37" s="3">
        <f t="shared" si="3"/>
        <v>7.0296742371802473E-3</v>
      </c>
      <c r="J37" s="16">
        <f t="shared" ref="J37:J68" si="4">(+H37*$J$272)</f>
        <v>362587.51471190091</v>
      </c>
      <c r="L37" s="6">
        <f>+J37/payroll!F37</f>
        <v>2.098974103012663E-3</v>
      </c>
      <c r="O37" s="40">
        <v>363574.66638105718</v>
      </c>
      <c r="P37" s="16">
        <f t="shared" si="1"/>
        <v>-987.15166915627196</v>
      </c>
      <c r="R37" s="55">
        <v>7.0297234241612104E-3</v>
      </c>
      <c r="S37" s="3">
        <f t="shared" si="2"/>
        <v>-4.9186980963060456E-8</v>
      </c>
    </row>
    <row r="38" spans="1:19">
      <c r="A38" t="s">
        <v>53</v>
      </c>
      <c r="B38" t="s">
        <v>54</v>
      </c>
      <c r="C38" s="3">
        <f>+payroll!G38</f>
        <v>4.7323298343986617E-3</v>
      </c>
      <c r="D38" s="3">
        <f>+IFR!T38</f>
        <v>3.1884465130809828E-3</v>
      </c>
      <c r="E38" s="3">
        <f>+claims!R38</f>
        <v>7.4226675243971405E-4</v>
      </c>
      <c r="F38" s="3">
        <f>+costs!L38</f>
        <v>4.7638836405818259E-4</v>
      </c>
      <c r="H38" s="3">
        <f t="shared" si="3"/>
        <v>1.3872700747358223E-3</v>
      </c>
      <c r="J38" s="16">
        <f t="shared" si="4"/>
        <v>71554.782150818632</v>
      </c>
      <c r="L38" s="6">
        <f>+J38/payroll!F38</f>
        <v>1.6239937924701381E-3</v>
      </c>
      <c r="O38" s="40">
        <v>71749.884407569043</v>
      </c>
      <c r="P38" s="16">
        <f t="shared" si="1"/>
        <v>-195.10225675041147</v>
      </c>
      <c r="R38" s="55">
        <v>1.3872854457139547E-3</v>
      </c>
      <c r="S38" s="3">
        <f t="shared" si="2"/>
        <v>-1.5370978132455901E-8</v>
      </c>
    </row>
    <row r="39" spans="1:19">
      <c r="A39" t="s">
        <v>55</v>
      </c>
      <c r="B39" t="s">
        <v>56</v>
      </c>
      <c r="C39" s="3">
        <f>+payroll!G39</f>
        <v>7.3077831148485252E-4</v>
      </c>
      <c r="D39" s="3">
        <f>+IFR!T39</f>
        <v>8.0222234529688289E-4</v>
      </c>
      <c r="E39" s="3">
        <f>+claims!R39</f>
        <v>1.979378006505904E-4</v>
      </c>
      <c r="F39" s="3">
        <f>+costs!L39</f>
        <v>2.1560603460034486E-4</v>
      </c>
      <c r="H39" s="3">
        <f t="shared" si="3"/>
        <v>3.506793729555124E-4</v>
      </c>
      <c r="J39" s="16">
        <f t="shared" si="4"/>
        <v>18087.888287647082</v>
      </c>
      <c r="L39" s="6">
        <f>+J39/payroll!F39</f>
        <v>2.6584158953888524E-3</v>
      </c>
      <c r="O39" s="40">
        <v>18137.218009923185</v>
      </c>
      <c r="P39" s="16">
        <f t="shared" si="1"/>
        <v>-49.329722276102984</v>
      </c>
      <c r="R39" s="55">
        <v>3.5068347187822249E-4</v>
      </c>
      <c r="S39" s="3">
        <f t="shared" si="2"/>
        <v>-4.0989227100929164E-9</v>
      </c>
    </row>
    <row r="40" spans="1:19">
      <c r="A40" t="s">
        <v>57</v>
      </c>
      <c r="B40" t="s">
        <v>58</v>
      </c>
      <c r="C40" s="3">
        <f>+payroll!G40</f>
        <v>1.0787138267502262E-3</v>
      </c>
      <c r="D40" s="3">
        <f>+IFR!T40</f>
        <v>1.0154248843497228E-3</v>
      </c>
      <c r="E40" s="3">
        <f>+claims!R40</f>
        <v>3.9587560130118079E-4</v>
      </c>
      <c r="F40" s="3">
        <f>+costs!L40</f>
        <v>9.1926107063982829E-5</v>
      </c>
      <c r="H40" s="3">
        <f t="shared" si="3"/>
        <v>3.7630434332106043E-4</v>
      </c>
      <c r="J40" s="16">
        <f t="shared" si="4"/>
        <v>19409.613022808793</v>
      </c>
      <c r="L40" s="6">
        <f>+J40/payroll!F40</f>
        <v>1.9325526689904684E-3</v>
      </c>
      <c r="O40" s="40">
        <v>19462.743889191781</v>
      </c>
      <c r="P40" s="16">
        <f t="shared" si="1"/>
        <v>-53.130866382987733</v>
      </c>
      <c r="R40" s="55">
        <v>3.763125411848837E-4</v>
      </c>
      <c r="S40" s="3">
        <f t="shared" si="2"/>
        <v>-8.1978638232708782E-9</v>
      </c>
    </row>
    <row r="41" spans="1:19">
      <c r="A41" t="s">
        <v>59</v>
      </c>
      <c r="B41" t="s">
        <v>60</v>
      </c>
      <c r="C41" s="3">
        <f>+payroll!G41</f>
        <v>1.5927157457262485E-3</v>
      </c>
      <c r="D41" s="3">
        <f>+IFR!T41</f>
        <v>1.0108722023713995E-3</v>
      </c>
      <c r="E41" s="3">
        <f>+claims!R41</f>
        <v>4.9484450162647599E-5</v>
      </c>
      <c r="F41" s="3">
        <f>+costs!L41</f>
        <v>1.5793548968490186E-5</v>
      </c>
      <c r="H41" s="3">
        <f t="shared" si="3"/>
        <v>3.4234729041769728E-4</v>
      </c>
      <c r="J41" s="16">
        <f t="shared" si="4"/>
        <v>17658.123123881451</v>
      </c>
      <c r="L41" s="6">
        <f>+J41/payroll!F41</f>
        <v>1.190767505094621E-3</v>
      </c>
      <c r="O41" s="40">
        <v>17706.126821309535</v>
      </c>
      <c r="P41" s="16">
        <f t="shared" si="1"/>
        <v>-48.003697428084706</v>
      </c>
      <c r="R41" s="55">
        <v>3.4234831515041382E-4</v>
      </c>
      <c r="S41" s="3">
        <f t="shared" si="2"/>
        <v>-1.0247327165415973E-9</v>
      </c>
    </row>
    <row r="42" spans="1:19">
      <c r="A42" t="s">
        <v>61</v>
      </c>
      <c r="B42" t="s">
        <v>532</v>
      </c>
      <c r="C42" s="3">
        <f>+payroll!G42</f>
        <v>6.4247140092313099E-4</v>
      </c>
      <c r="D42" s="3">
        <f>+IFR!T42</f>
        <v>5.0139172836029592E-4</v>
      </c>
      <c r="E42" s="3">
        <f>+claims!R42</f>
        <v>9.8968900325295198E-5</v>
      </c>
      <c r="F42" s="3">
        <f>+costs!L42</f>
        <v>1.4951170933266439E-5</v>
      </c>
      <c r="H42" s="3">
        <f t="shared" si="3"/>
        <v>1.667989287691825E-4</v>
      </c>
      <c r="J42" s="16">
        <f t="shared" si="4"/>
        <v>8603.4156062521579</v>
      </c>
      <c r="L42" s="6">
        <f>+J42/payroll!F42</f>
        <v>1.4382613511469036E-3</v>
      </c>
      <c r="O42" s="40">
        <v>8626.8842107776418</v>
      </c>
      <c r="P42" s="16">
        <f t="shared" si="1"/>
        <v>-23.468604525483897</v>
      </c>
      <c r="R42" s="55">
        <v>1.6680097823556654E-4</v>
      </c>
      <c r="S42" s="3">
        <f t="shared" si="2"/>
        <v>-2.0494663840369201E-9</v>
      </c>
    </row>
    <row r="43" spans="1:19">
      <c r="A43" t="s">
        <v>62</v>
      </c>
      <c r="B43" t="s">
        <v>63</v>
      </c>
      <c r="C43" s="3">
        <f>+payroll!G43</f>
        <v>1.6737863378473643E-3</v>
      </c>
      <c r="D43" s="3">
        <f>+IFR!T43</f>
        <v>9.9922529265015505E-4</v>
      </c>
      <c r="E43" s="3">
        <f>+claims!R43</f>
        <v>1.4845335048794281E-4</v>
      </c>
      <c r="F43" s="3">
        <f>+costs!L43</f>
        <v>7.1383993047973595E-5</v>
      </c>
      <c r="H43" s="3">
        <f t="shared" si="3"/>
        <v>3.9922485221416545E-4</v>
      </c>
      <c r="J43" s="16">
        <f t="shared" si="4"/>
        <v>20591.842821101207</v>
      </c>
      <c r="L43" s="6">
        <f>+J43/payroll!F43</f>
        <v>1.3213440197113028E-3</v>
      </c>
      <c r="O43" s="40">
        <v>20647.919042736241</v>
      </c>
      <c r="P43" s="16">
        <f t="shared" si="1"/>
        <v>-56.076221635034017</v>
      </c>
      <c r="R43" s="55">
        <v>3.9922792641107344E-4</v>
      </c>
      <c r="S43" s="3">
        <f t="shared" si="2"/>
        <v>-3.074196907996464E-9</v>
      </c>
    </row>
    <row r="44" spans="1:19">
      <c r="A44" s="50" t="s">
        <v>64</v>
      </c>
      <c r="B44" s="50" t="s">
        <v>533</v>
      </c>
      <c r="C44" s="3">
        <f>+payroll!G44</f>
        <v>1.3333122312959472E-2</v>
      </c>
      <c r="D44" s="3">
        <f>+IFR!T44</f>
        <v>1.4775287352689249E-2</v>
      </c>
      <c r="E44" s="3">
        <f>+claims!R44</f>
        <v>7.7195742253730257E-3</v>
      </c>
      <c r="F44" s="3">
        <f>+costs!L44</f>
        <v>7.9440366632676871E-3</v>
      </c>
      <c r="H44" s="3">
        <f t="shared" si="3"/>
        <v>9.4379093399726555E-3</v>
      </c>
      <c r="J44" s="16">
        <f t="shared" si="4"/>
        <v>486803.22532692307</v>
      </c>
      <c r="L44" s="6">
        <f>+J44/payroll!F44</f>
        <v>3.9214103553213238E-3</v>
      </c>
      <c r="O44" s="40">
        <v>488133.4090818438</v>
      </c>
      <c r="P44" s="16">
        <f t="shared" si="1"/>
        <v>-1330.1837549207266</v>
      </c>
      <c r="R44" s="55">
        <v>9.4380691979838328E-3</v>
      </c>
      <c r="S44" s="3">
        <f t="shared" si="2"/>
        <v>-1.5985801117730791E-7</v>
      </c>
    </row>
    <row r="45" spans="1:19">
      <c r="A45" t="s">
        <v>555</v>
      </c>
      <c r="B45" t="s">
        <v>556</v>
      </c>
      <c r="C45" s="3">
        <f>+payroll!G45</f>
        <v>3.7825813245659845E-5</v>
      </c>
      <c r="D45" s="3">
        <f>+IFR!T45</f>
        <v>4.5769924160716414E-5</v>
      </c>
      <c r="E45" s="3">
        <f>+claims!R45</f>
        <v>0</v>
      </c>
      <c r="F45" s="3">
        <f>+costs!L45</f>
        <v>0</v>
      </c>
      <c r="H45" s="3">
        <f t="shared" si="3"/>
        <v>1.0449467175797031E-5</v>
      </c>
      <c r="J45" s="16">
        <f t="shared" si="4"/>
        <v>538.9789349407489</v>
      </c>
      <c r="L45" s="6">
        <f>+J45/payroll!F45</f>
        <v>1.5303974218110949E-3</v>
      </c>
      <c r="O45" s="40">
        <v>540.44253423146108</v>
      </c>
      <c r="P45" s="16">
        <f t="shared" si="1"/>
        <v>-1.4635992907121818</v>
      </c>
      <c r="R45" s="55">
        <v>1.0449467175796303E-5</v>
      </c>
      <c r="S45" s="3">
        <f t="shared" si="2"/>
        <v>7.2844833463869829E-19</v>
      </c>
    </row>
    <row r="46" spans="1:19">
      <c r="A46" t="s">
        <v>65</v>
      </c>
      <c r="B46" t="s">
        <v>66</v>
      </c>
      <c r="C46" s="3">
        <f>+payroll!G46</f>
        <v>5.8809360689843812E-4</v>
      </c>
      <c r="D46" s="3">
        <f>+IFR!T46</f>
        <v>5.2886252301590701E-4</v>
      </c>
      <c r="E46" s="3">
        <f>+claims!R46</f>
        <v>2.4742225081323798E-4</v>
      </c>
      <c r="F46" s="3">
        <f>+costs!L46</f>
        <v>2.1139486734036877E-4</v>
      </c>
      <c r="H46" s="3">
        <f t="shared" si="3"/>
        <v>3.0356977426550008E-4</v>
      </c>
      <c r="J46" s="16">
        <f t="shared" si="4"/>
        <v>15657.995844304176</v>
      </c>
      <c r="L46" s="6">
        <f>+J46/payroll!F46</f>
        <v>2.8596338071568972E-3</v>
      </c>
      <c r="O46" s="40">
        <v>15700.780183516334</v>
      </c>
      <c r="P46" s="16">
        <f t="shared" si="1"/>
        <v>-42.784339212157647</v>
      </c>
      <c r="R46" s="55">
        <v>3.035748979220448E-4</v>
      </c>
      <c r="S46" s="3">
        <f t="shared" si="2"/>
        <v>-5.1236565447180041E-9</v>
      </c>
    </row>
    <row r="47" spans="1:19">
      <c r="A47" t="s">
        <v>67</v>
      </c>
      <c r="B47" t="s">
        <v>68</v>
      </c>
      <c r="C47" s="3">
        <f>+payroll!G47</f>
        <v>2.0437232854486035E-3</v>
      </c>
      <c r="D47" s="3">
        <f>+IFR!T47</f>
        <v>1.5025397556323642E-3</v>
      </c>
      <c r="E47" s="3">
        <f>+claims!R47</f>
        <v>3.9587560130118079E-4</v>
      </c>
      <c r="F47" s="3">
        <f>+costs!L47</f>
        <v>3.267285472807926E-4</v>
      </c>
      <c r="H47" s="3">
        <f t="shared" si="3"/>
        <v>6.9870134869877355E-4</v>
      </c>
      <c r="J47" s="16">
        <f t="shared" si="4"/>
        <v>36038.709192328344</v>
      </c>
      <c r="L47" s="6">
        <f>+J47/payroll!F47</f>
        <v>1.893947087819236E-3</v>
      </c>
      <c r="O47" s="40">
        <v>36136.996430187719</v>
      </c>
      <c r="P47" s="16">
        <f t="shared" si="1"/>
        <v>-98.287237859374727</v>
      </c>
      <c r="R47" s="55">
        <v>6.9870954654984775E-4</v>
      </c>
      <c r="S47" s="3">
        <f t="shared" si="2"/>
        <v>-8.1978510741917421E-9</v>
      </c>
    </row>
    <row r="48" spans="1:19">
      <c r="A48" t="s">
        <v>69</v>
      </c>
      <c r="B48" t="s">
        <v>70</v>
      </c>
      <c r="C48" s="3">
        <f>+payroll!G48</f>
        <v>7.9930182948627658E-5</v>
      </c>
      <c r="D48" s="3">
        <f>+IFR!T48</f>
        <v>6.7516715746493766E-5</v>
      </c>
      <c r="E48" s="3">
        <f>+claims!R48</f>
        <v>4.9484450162647599E-5</v>
      </c>
      <c r="F48" s="3">
        <f>+costs!L48</f>
        <v>2.3946597225304954E-6</v>
      </c>
      <c r="H48" s="3">
        <f t="shared" si="3"/>
        <v>2.7290325694805616E-5</v>
      </c>
      <c r="J48" s="16">
        <f t="shared" si="4"/>
        <v>1407.6230328031597</v>
      </c>
      <c r="L48" s="6">
        <f>+J48/payroll!F48</f>
        <v>1.8914560962386387E-3</v>
      </c>
      <c r="O48" s="40">
        <v>1411.4984371854657</v>
      </c>
      <c r="P48" s="16">
        <f t="shared" si="1"/>
        <v>-3.8754043823059874</v>
      </c>
      <c r="R48" s="55">
        <v>2.7291350428277762E-5</v>
      </c>
      <c r="S48" s="3">
        <f t="shared" si="2"/>
        <v>-1.0247334721458082E-9</v>
      </c>
    </row>
    <row r="49" spans="1:19">
      <c r="A49" t="s">
        <v>71</v>
      </c>
      <c r="B49" t="s">
        <v>72</v>
      </c>
      <c r="C49" s="3">
        <f>+payroll!G49</f>
        <v>9.5922394878116527E-5</v>
      </c>
      <c r="D49" s="3">
        <f>+IFR!T49</f>
        <v>5.8212448208269921E-5</v>
      </c>
      <c r="E49" s="3">
        <f>+claims!R49</f>
        <v>0</v>
      </c>
      <c r="F49" s="3">
        <f>+costs!L49</f>
        <v>0</v>
      </c>
      <c r="H49" s="3">
        <f t="shared" si="3"/>
        <v>1.9266855385798307E-5</v>
      </c>
      <c r="J49" s="16">
        <f t="shared" si="4"/>
        <v>993.77595247605848</v>
      </c>
      <c r="L49" s="6">
        <f>+J49/payroll!F49</f>
        <v>1.1127284131937645E-3</v>
      </c>
      <c r="O49" s="40">
        <v>996.47455474947867</v>
      </c>
      <c r="P49" s="16">
        <f t="shared" si="1"/>
        <v>-2.6986022734201924</v>
      </c>
      <c r="R49" s="55">
        <v>1.926685538579646E-5</v>
      </c>
      <c r="S49" s="3">
        <f t="shared" si="2"/>
        <v>1.8465318250143747E-18</v>
      </c>
    </row>
    <row r="50" spans="1:19">
      <c r="A50" t="s">
        <v>73</v>
      </c>
      <c r="B50" t="s">
        <v>74</v>
      </c>
      <c r="C50" s="3">
        <f>+payroll!G50</f>
        <v>6.8418311247300565E-5</v>
      </c>
      <c r="D50" s="3">
        <f>+IFR!T50</f>
        <v>5.1935935189610596E-5</v>
      </c>
      <c r="E50" s="3">
        <f>+claims!R50</f>
        <v>4.9484450162647599E-5</v>
      </c>
      <c r="F50" s="3">
        <f>+costs!L50</f>
        <v>1.3994481782986049E-5</v>
      </c>
      <c r="H50" s="3">
        <f t="shared" si="3"/>
        <v>3.0863637398802663E-5</v>
      </c>
      <c r="J50" s="16">
        <f t="shared" si="4"/>
        <v>1591.9328836338782</v>
      </c>
      <c r="L50" s="6">
        <f>+J50/payroll!F50</f>
        <v>2.499039444014813E-3</v>
      </c>
      <c r="O50" s="40">
        <v>1596.3087820650992</v>
      </c>
      <c r="P50" s="16">
        <f t="shared" si="1"/>
        <v>-4.3758984312210032</v>
      </c>
      <c r="R50" s="55">
        <v>3.0864662131646103E-5</v>
      </c>
      <c r="S50" s="3">
        <f t="shared" si="2"/>
        <v>-1.0247328434406853E-9</v>
      </c>
    </row>
    <row r="51" spans="1:19">
      <c r="A51" t="s">
        <v>75</v>
      </c>
      <c r="B51" t="s">
        <v>76</v>
      </c>
      <c r="C51" s="3">
        <f>+payroll!G51</f>
        <v>1.8729865827471847E-4</v>
      </c>
      <c r="D51" s="3">
        <f>+IFR!T51</f>
        <v>1.575979378030269E-4</v>
      </c>
      <c r="E51" s="3">
        <f>+claims!R51</f>
        <v>4.9484450162647599E-5</v>
      </c>
      <c r="F51" s="3">
        <f>+costs!L51</f>
        <v>6.704920712760424E-5</v>
      </c>
      <c r="H51" s="3">
        <f t="shared" si="3"/>
        <v>9.0764266310677843E-5</v>
      </c>
      <c r="J51" s="16">
        <f t="shared" si="4"/>
        <v>4681.5810570816284</v>
      </c>
      <c r="L51" s="6">
        <f>+J51/payroll!F51</f>
        <v>2.6845938343687523E-3</v>
      </c>
      <c r="O51" s="40">
        <v>4694.3469064031779</v>
      </c>
      <c r="P51" s="16">
        <f t="shared" si="1"/>
        <v>-12.765849321549467</v>
      </c>
      <c r="R51" s="55">
        <v>9.0765291040642435E-5</v>
      </c>
      <c r="S51" s="3">
        <f t="shared" si="2"/>
        <v>-1.0247299645925381E-9</v>
      </c>
    </row>
    <row r="52" spans="1:19">
      <c r="A52" t="s">
        <v>77</v>
      </c>
      <c r="B52" t="s">
        <v>78</v>
      </c>
      <c r="C52" s="3">
        <f>+payroll!G52</f>
        <v>8.6641532350885771E-5</v>
      </c>
      <c r="D52" s="3">
        <f>+IFR!T52</f>
        <v>5.3947071403335939E-5</v>
      </c>
      <c r="E52" s="3">
        <f>+claims!R52</f>
        <v>0</v>
      </c>
      <c r="F52" s="3">
        <f>+costs!L52</f>
        <v>0</v>
      </c>
      <c r="H52" s="3">
        <f t="shared" si="3"/>
        <v>1.7573575469277715E-5</v>
      </c>
      <c r="J52" s="16">
        <f t="shared" si="4"/>
        <v>906.43731686823696</v>
      </c>
      <c r="L52" s="6">
        <f>+J52/payroll!F52</f>
        <v>1.1236533720835825E-3</v>
      </c>
      <c r="O52" s="40">
        <v>908.89875075373152</v>
      </c>
      <c r="P52" s="16">
        <f t="shared" si="1"/>
        <v>-2.4614338854945572</v>
      </c>
      <c r="R52" s="55">
        <v>1.7573575469276045E-5</v>
      </c>
      <c r="S52" s="3">
        <f t="shared" si="2"/>
        <v>1.6703489719854803E-18</v>
      </c>
    </row>
    <row r="53" spans="1:19">
      <c r="A53" t="s">
        <v>79</v>
      </c>
      <c r="B53" t="s">
        <v>80</v>
      </c>
      <c r="C53" s="3">
        <f>+payroll!G53</f>
        <v>9.152183044923032E-4</v>
      </c>
      <c r="D53" s="3">
        <f>+IFR!T53</f>
        <v>5.6574808719950698E-4</v>
      </c>
      <c r="E53" s="3">
        <f>+claims!R53</f>
        <v>0</v>
      </c>
      <c r="F53" s="3">
        <f>+costs!L53</f>
        <v>0</v>
      </c>
      <c r="H53" s="3">
        <f t="shared" si="3"/>
        <v>1.8512079896147629E-4</v>
      </c>
      <c r="J53" s="16">
        <f t="shared" si="4"/>
        <v>9548.4496368138098</v>
      </c>
      <c r="L53" s="6">
        <f>+J53/payroll!F53</f>
        <v>1.1205438898665907E-3</v>
      </c>
      <c r="O53" s="40">
        <v>9574.3784871078315</v>
      </c>
      <c r="P53" s="16">
        <f t="shared" si="1"/>
        <v>-25.928850294021686</v>
      </c>
      <c r="R53" s="55">
        <v>1.8512079896145867E-4</v>
      </c>
      <c r="S53" s="3">
        <f t="shared" si="2"/>
        <v>1.7618285302889447E-17</v>
      </c>
    </row>
    <row r="54" spans="1:19">
      <c r="A54" t="s">
        <v>81</v>
      </c>
      <c r="B54" t="s">
        <v>498</v>
      </c>
      <c r="C54" s="3">
        <f>+payroll!G54</f>
        <v>2.1549004538168564E-3</v>
      </c>
      <c r="D54" s="3">
        <f>+IFR!T54</f>
        <v>1.6184342424980314E-3</v>
      </c>
      <c r="E54" s="3">
        <f>+claims!R54</f>
        <v>2.9690670097588562E-4</v>
      </c>
      <c r="F54" s="3">
        <f>+costs!L54</f>
        <v>1.4435569067424383E-4</v>
      </c>
      <c r="H54" s="3">
        <f t="shared" si="3"/>
        <v>6.0281625659029008E-4</v>
      </c>
      <c r="J54" s="16">
        <f t="shared" si="4"/>
        <v>31092.998186026809</v>
      </c>
      <c r="L54" s="6">
        <f>+J54/payroll!F54</f>
        <v>1.5497302003793078E-3</v>
      </c>
      <c r="O54" s="40">
        <v>31177.749330195238</v>
      </c>
      <c r="P54" s="16">
        <f t="shared" si="1"/>
        <v>-84.751144168429164</v>
      </c>
      <c r="R54" s="55">
        <v>6.0282240498404297E-4</v>
      </c>
      <c r="S54" s="3">
        <f t="shared" si="2"/>
        <v>-6.1483937528923616E-9</v>
      </c>
    </row>
    <row r="55" spans="1:19">
      <c r="A55" t="s">
        <v>82</v>
      </c>
      <c r="B55" t="s">
        <v>83</v>
      </c>
      <c r="C55" s="3">
        <f>+payroll!G55</f>
        <v>3.8340702591774089E-5</v>
      </c>
      <c r="D55" s="3">
        <f>+IFR!T55</f>
        <v>3.359260488859919E-5</v>
      </c>
      <c r="E55" s="3">
        <f>+claims!R55</f>
        <v>0</v>
      </c>
      <c r="F55" s="3">
        <f>+costs!L55</f>
        <v>0</v>
      </c>
      <c r="H55" s="3">
        <f t="shared" si="3"/>
        <v>8.9916634350466599E-6</v>
      </c>
      <c r="J55" s="16">
        <f t="shared" si="4"/>
        <v>463.78605722520706</v>
      </c>
      <c r="L55" s="6">
        <f>+J55/payroll!F55</f>
        <v>1.2992069311305698E-3</v>
      </c>
      <c r="O55" s="40">
        <v>465.04546997845046</v>
      </c>
      <c r="P55" s="16">
        <f t="shared" si="1"/>
        <v>-1.2594127532433959</v>
      </c>
      <c r="R55" s="55">
        <v>8.991663435045923E-6</v>
      </c>
      <c r="S55" s="3">
        <f t="shared" ref="S55:S99" si="5">+H55-R55</f>
        <v>7.3691866411124129E-19</v>
      </c>
    </row>
    <row r="56" spans="1:19">
      <c r="A56" t="s">
        <v>84</v>
      </c>
      <c r="B56" s="36" t="s">
        <v>559</v>
      </c>
      <c r="C56" s="3">
        <f>+payroll!G56</f>
        <v>2.8341235457362592E-3</v>
      </c>
      <c r="D56" s="3">
        <f>+IFR!T56</f>
        <v>2.7824401022859468E-3</v>
      </c>
      <c r="E56" s="3">
        <f>+claims!R56</f>
        <v>7.8758409100971767E-3</v>
      </c>
      <c r="F56" s="3">
        <f>+costs!L56</f>
        <v>1.0253466741328092E-2</v>
      </c>
      <c r="H56" s="3">
        <f t="shared" ref="H56:H102" si="6">(C56*$C$3)+(D56*$D$3)+(E56*$E$3)+(F56*$F$3)</f>
        <v>8.0355266373142078E-3</v>
      </c>
      <c r="J56" s="16">
        <f t="shared" si="4"/>
        <v>414468.94045459165</v>
      </c>
      <c r="L56" s="6">
        <f>+J56/payroll!F56</f>
        <v>1.5707024466163885E-2</v>
      </c>
      <c r="O56" s="40">
        <v>415602.86754976795</v>
      </c>
      <c r="P56" s="16">
        <f t="shared" si="1"/>
        <v>-1133.9270951763028</v>
      </c>
      <c r="R56" s="55">
        <v>8.0356897312012267E-3</v>
      </c>
      <c r="S56" s="3">
        <f t="shared" si="5"/>
        <v>-1.6309388701889194E-7</v>
      </c>
    </row>
    <row r="57" spans="1:19">
      <c r="A57" t="s">
        <v>85</v>
      </c>
      <c r="B57" t="s">
        <v>86</v>
      </c>
      <c r="C57" s="3">
        <f>+payroll!G57</f>
        <v>1.9211247114626271E-3</v>
      </c>
      <c r="D57" s="3">
        <f>+IFR!T57</f>
        <v>2.0570387402737813E-3</v>
      </c>
      <c r="E57" s="3">
        <f>+claims!R57</f>
        <v>6.4329785211441877E-4</v>
      </c>
      <c r="F57" s="3">
        <f>+costs!L57</f>
        <v>2.6131502829045345E-4</v>
      </c>
      <c r="H57" s="3">
        <f t="shared" si="6"/>
        <v>7.5055412625848594E-4</v>
      </c>
      <c r="J57" s="16">
        <f t="shared" si="4"/>
        <v>38713.252721933881</v>
      </c>
      <c r="L57" s="6">
        <f>+J57/payroll!F57</f>
        <v>2.1643366407529444E-3</v>
      </c>
      <c r="O57" s="40">
        <v>38819.067687014394</v>
      </c>
      <c r="P57" s="16">
        <f t="shared" si="1"/>
        <v>-105.8149650805135</v>
      </c>
      <c r="R57" s="55">
        <v>7.5056744778112658E-4</v>
      </c>
      <c r="S57" s="3">
        <f t="shared" si="5"/>
        <v>-1.3321522640639266E-8</v>
      </c>
    </row>
    <row r="58" spans="1:19">
      <c r="A58" t="s">
        <v>87</v>
      </c>
      <c r="B58" t="s">
        <v>88</v>
      </c>
      <c r="C58" s="3">
        <f>+payroll!G58</f>
        <v>5.9580371831081363E-2</v>
      </c>
      <c r="D58" s="3">
        <f>+IFR!T58</f>
        <v>4.8459851997170976E-2</v>
      </c>
      <c r="E58" s="3">
        <f>+claims!R58</f>
        <v>6.9590763597154937E-2</v>
      </c>
      <c r="F58" s="3">
        <f>+costs!L58</f>
        <v>5.4940463127193764E-2</v>
      </c>
      <c r="H58" s="3">
        <f t="shared" si="6"/>
        <v>5.6907920394421038E-2</v>
      </c>
      <c r="J58" s="16">
        <f t="shared" si="4"/>
        <v>2935285.5803902233</v>
      </c>
      <c r="L58" s="6">
        <f>+J58/payroll!F58</f>
        <v>5.2913666942702138E-3</v>
      </c>
      <c r="O58" s="40">
        <v>2943330.8921868275</v>
      </c>
      <c r="P58" s="16">
        <f t="shared" si="1"/>
        <v>-8045.31179660419</v>
      </c>
      <c r="R58" s="55">
        <v>5.6909361490487725E-2</v>
      </c>
      <c r="S58" s="3">
        <f t="shared" si="5"/>
        <v>-1.4410960666871864E-6</v>
      </c>
    </row>
    <row r="59" spans="1:19">
      <c r="A59" t="s">
        <v>89</v>
      </c>
      <c r="B59" s="36" t="s">
        <v>557</v>
      </c>
      <c r="C59" s="3">
        <f>+payroll!G59</f>
        <v>2.535847432650843E-4</v>
      </c>
      <c r="D59" s="3">
        <f>+IFR!T59</f>
        <v>2.4376738942187443E-4</v>
      </c>
      <c r="E59" s="3">
        <f>+claims!R59</f>
        <v>4.9484450162647599E-5</v>
      </c>
      <c r="F59" s="3">
        <f>+costs!L59</f>
        <v>1.9523344441978723E-5</v>
      </c>
      <c r="H59" s="3">
        <f t="shared" si="6"/>
        <v>8.1305690775454207E-5</v>
      </c>
      <c r="J59" s="16">
        <f t="shared" si="4"/>
        <v>4193.7118784655795</v>
      </c>
      <c r="L59" s="6">
        <f>+J59/payroll!F59</f>
        <v>1.7762176295393175E-3</v>
      </c>
      <c r="O59" s="40">
        <v>4205.1529173618674</v>
      </c>
      <c r="P59" s="16">
        <f t="shared" si="1"/>
        <v>-11.441038896287864</v>
      </c>
      <c r="R59" s="55">
        <v>8.1306715507994335E-5</v>
      </c>
      <c r="S59" s="3">
        <f t="shared" si="5"/>
        <v>-1.0247325401283513E-9</v>
      </c>
    </row>
    <row r="60" spans="1:19">
      <c r="A60" t="s">
        <v>90</v>
      </c>
      <c r="B60" t="s">
        <v>91</v>
      </c>
      <c r="C60" s="3">
        <f>+payroll!G60</f>
        <v>8.0054351710931215E-5</v>
      </c>
      <c r="D60" s="3">
        <f>+IFR!T60</f>
        <v>8.1152661283510696E-5</v>
      </c>
      <c r="E60" s="3">
        <f>+claims!R60</f>
        <v>0</v>
      </c>
      <c r="F60" s="3">
        <f>+costs!L60</f>
        <v>0</v>
      </c>
      <c r="H60" s="3">
        <f t="shared" si="6"/>
        <v>2.0150876624305239E-5</v>
      </c>
      <c r="J60" s="16">
        <f t="shared" si="4"/>
        <v>1039.3733803237733</v>
      </c>
      <c r="L60" s="6">
        <f>+J60/payroll!F60</f>
        <v>1.3944641463546519E-3</v>
      </c>
      <c r="O60" s="40">
        <v>1042.1958025811298</v>
      </c>
      <c r="P60" s="16">
        <f t="shared" si="1"/>
        <v>-2.822422257356493</v>
      </c>
      <c r="R60" s="55">
        <v>2.0150876624303697E-5</v>
      </c>
      <c r="S60" s="3">
        <f t="shared" si="5"/>
        <v>1.5415999640028266E-18</v>
      </c>
    </row>
    <row r="61" spans="1:19">
      <c r="A61" t="s">
        <v>92</v>
      </c>
      <c r="B61" t="s">
        <v>93</v>
      </c>
      <c r="C61" s="3">
        <f>+payroll!G61</f>
        <v>1.6701679451127291E-4</v>
      </c>
      <c r="D61" s="3">
        <f>+IFR!T61</f>
        <v>1.556531027831606E-4</v>
      </c>
      <c r="E61" s="3">
        <f>+claims!R61</f>
        <v>0</v>
      </c>
      <c r="F61" s="3">
        <f>+costs!L61</f>
        <v>0</v>
      </c>
      <c r="H61" s="3">
        <f t="shared" si="6"/>
        <v>4.0333737161804189E-5</v>
      </c>
      <c r="J61" s="16">
        <f t="shared" si="4"/>
        <v>2080.3964768654519</v>
      </c>
      <c r="L61" s="6">
        <f>+J61/payroll!F61</f>
        <v>1.3378476896188181E-3</v>
      </c>
      <c r="O61" s="40">
        <v>2086.0458011906476</v>
      </c>
      <c r="P61" s="16">
        <f t="shared" si="1"/>
        <v>-5.649324325195721</v>
      </c>
      <c r="R61" s="55">
        <v>4.033373716180097E-5</v>
      </c>
      <c r="S61" s="3">
        <f t="shared" si="5"/>
        <v>3.2187251995663413E-18</v>
      </c>
    </row>
    <row r="62" spans="1:19">
      <c r="A62" t="s">
        <v>490</v>
      </c>
      <c r="B62" t="s">
        <v>491</v>
      </c>
      <c r="C62" s="3">
        <f>+payroll!G62</f>
        <v>8.33338165529555E-4</v>
      </c>
      <c r="D62" s="3">
        <f>+IFR!T62</f>
        <v>8.6600409378931548E-4</v>
      </c>
      <c r="E62" s="3">
        <f>+claims!R62</f>
        <v>2.9690670097588562E-4</v>
      </c>
      <c r="F62" s="3">
        <f>+costs!L62</f>
        <v>5.8977523082644797E-4</v>
      </c>
      <c r="H62" s="3">
        <f>(C62*$C$3)+(D62*$D$3)+(E62*$E$3)+(F62*$F$3)</f>
        <v>6.108189260571105E-4</v>
      </c>
      <c r="J62" s="16">
        <f t="shared" si="4"/>
        <v>31505.772368034872</v>
      </c>
      <c r="L62" s="6">
        <f>+J62/payroll!F62</f>
        <v>4.0605939773226459E-3</v>
      </c>
      <c r="O62" s="40">
        <v>31591.64440077309</v>
      </c>
      <c r="P62" s="16">
        <f t="shared" si="1"/>
        <v>-85.872032738217968</v>
      </c>
      <c r="R62" s="55">
        <v>6.1082507442673871E-4</v>
      </c>
      <c r="S62" s="3">
        <f t="shared" si="5"/>
        <v>-6.1483696282014014E-9</v>
      </c>
    </row>
    <row r="63" spans="1:19">
      <c r="A63" t="s">
        <v>94</v>
      </c>
      <c r="B63" t="s">
        <v>492</v>
      </c>
      <c r="C63" s="3">
        <f>+payroll!G63</f>
        <v>3.888807735264975E-4</v>
      </c>
      <c r="D63" s="3">
        <f>+IFR!T63</f>
        <v>2.8595704911420059E-4</v>
      </c>
      <c r="E63" s="3">
        <f>+claims!R63</f>
        <v>0</v>
      </c>
      <c r="F63" s="3">
        <f>+costs!L63</f>
        <v>7.409890462169835E-8</v>
      </c>
      <c r="H63" s="3">
        <f t="shared" si="6"/>
        <v>8.4399187172860289E-5</v>
      </c>
      <c r="J63" s="16">
        <f t="shared" si="4"/>
        <v>4353.2730661765499</v>
      </c>
      <c r="L63" s="6">
        <f>+J63/payroll!F63</f>
        <v>1.2023202048897302E-3</v>
      </c>
      <c r="O63" s="40">
        <v>4365.094395283736</v>
      </c>
      <c r="P63" s="16">
        <f t="shared" si="1"/>
        <v>-11.821329107186102</v>
      </c>
      <c r="R63" s="55">
        <v>8.439918717284877E-5</v>
      </c>
      <c r="S63" s="3">
        <f t="shared" si="5"/>
        <v>1.1519648082658485E-17</v>
      </c>
    </row>
    <row r="64" spans="1:19" ht="13.5" customHeight="1">
      <c r="A64" t="s">
        <v>95</v>
      </c>
      <c r="B64" t="s">
        <v>96</v>
      </c>
      <c r="C64" s="3">
        <f>+payroll!G64</f>
        <v>1.7612464590298683E-3</v>
      </c>
      <c r="D64" s="3">
        <f>+IFR!T64</f>
        <v>9.7655028435035031E-4</v>
      </c>
      <c r="E64" s="3">
        <f>+claims!R64</f>
        <v>9.8968900325295198E-5</v>
      </c>
      <c r="F64" s="3">
        <f>+costs!L64</f>
        <v>9.1437506116068786E-5</v>
      </c>
      <c r="H64" s="3">
        <f t="shared" si="6"/>
        <v>4.1193243164096293E-4</v>
      </c>
      <c r="J64" s="16">
        <f t="shared" si="4"/>
        <v>21247.294195788916</v>
      </c>
      <c r="L64" s="6">
        <f>+J64/payroll!F64</f>
        <v>1.2956992454547394E-3</v>
      </c>
      <c r="O64" s="40">
        <v>21305.097299160454</v>
      </c>
      <c r="P64" s="16">
        <f t="shared" si="1"/>
        <v>-57.803103371537873</v>
      </c>
      <c r="R64" s="55">
        <v>4.1193448110317838E-4</v>
      </c>
      <c r="S64" s="3">
        <f t="shared" si="5"/>
        <v>-2.0494622154421972E-9</v>
      </c>
    </row>
    <row r="65" spans="1:19" ht="13.5" customHeight="1">
      <c r="A65" t="s">
        <v>97</v>
      </c>
      <c r="B65" t="s">
        <v>98</v>
      </c>
      <c r="C65" s="3">
        <f>+payroll!G65</f>
        <v>2.340316924639593E-3</v>
      </c>
      <c r="D65" s="3">
        <f>+IFR!T65</f>
        <v>2.0662104054242868E-3</v>
      </c>
      <c r="E65" s="3">
        <f>+claims!R65</f>
        <v>3.4639115113853326E-4</v>
      </c>
      <c r="F65" s="3">
        <f>+costs!L65</f>
        <v>2.1406920524558724E-4</v>
      </c>
      <c r="H65" s="3">
        <f t="shared" si="6"/>
        <v>7.3121611207611729E-4</v>
      </c>
      <c r="J65" s="16">
        <f t="shared" si="4"/>
        <v>37715.806429933145</v>
      </c>
      <c r="L65" s="6">
        <f>+J65/payroll!F65</f>
        <v>1.7308898543649729E-3</v>
      </c>
      <c r="O65" s="40">
        <v>37818.594833019313</v>
      </c>
      <c r="P65" s="16">
        <f t="shared" si="1"/>
        <v>-102.78840308616782</v>
      </c>
      <c r="R65" s="55">
        <v>7.3122328519969028E-4</v>
      </c>
      <c r="S65" s="3">
        <f t="shared" si="5"/>
        <v>-7.1731235729878551E-9</v>
      </c>
    </row>
    <row r="66" spans="1:19">
      <c r="A66" t="s">
        <v>99</v>
      </c>
      <c r="B66" t="s">
        <v>100</v>
      </c>
      <c r="C66" s="3">
        <f>+payroll!G66</f>
        <v>8.0997452809894906E-3</v>
      </c>
      <c r="D66" s="3">
        <f>+IFR!T66</f>
        <v>7.1832481458760662E-3</v>
      </c>
      <c r="E66" s="3">
        <f>+claims!R66</f>
        <v>1.6329868553673708E-3</v>
      </c>
      <c r="F66" s="3">
        <f>+costs!L66</f>
        <v>1.1994640904473884E-3</v>
      </c>
      <c r="H66" s="3">
        <f t="shared" si="6"/>
        <v>2.8750006609317329E-3</v>
      </c>
      <c r="J66" s="16">
        <f t="shared" si="4"/>
        <v>148291.27343181896</v>
      </c>
      <c r="L66" s="6">
        <f>+J66/payroll!F66</f>
        <v>1.9663686458421207E-3</v>
      </c>
      <c r="O66" s="40">
        <v>148695.70789144837</v>
      </c>
      <c r="P66" s="16">
        <f t="shared" ref="P66:P126" si="7">+J66-O66</f>
        <v>-404.43445962941041</v>
      </c>
      <c r="R66" s="55">
        <v>2.8750344770754601E-3</v>
      </c>
      <c r="S66" s="3">
        <f t="shared" si="5"/>
        <v>-3.3816143727230519E-8</v>
      </c>
    </row>
    <row r="67" spans="1:19">
      <c r="A67" t="s">
        <v>101</v>
      </c>
      <c r="B67" t="s">
        <v>534</v>
      </c>
      <c r="C67" s="3">
        <f>+payroll!G67</f>
        <v>4.552745251641249E-3</v>
      </c>
      <c r="D67" s="3">
        <f>+IFR!T67</f>
        <v>3.8671939350143109E-3</v>
      </c>
      <c r="E67" s="3">
        <f>+claims!R67</f>
        <v>6.9278230227706652E-4</v>
      </c>
      <c r="F67" s="3">
        <f>+costs!L67</f>
        <v>1.0118586764358158E-3</v>
      </c>
      <c r="H67" s="3">
        <f t="shared" si="6"/>
        <v>1.7635249495349947E-3</v>
      </c>
      <c r="J67" s="16">
        <f t="shared" si="4"/>
        <v>90961.843608959898</v>
      </c>
      <c r="L67" s="6">
        <f>+J67/payroll!F67</f>
        <v>2.1458858274610174E-3</v>
      </c>
      <c r="O67" s="40">
        <v>91209.592812518953</v>
      </c>
      <c r="P67" s="16">
        <f t="shared" si="7"/>
        <v>-247.74920355905488</v>
      </c>
      <c r="R67" s="55">
        <v>1.7635392957504944E-3</v>
      </c>
      <c r="S67" s="3">
        <f t="shared" si="5"/>
        <v>-1.4346215499632178E-8</v>
      </c>
    </row>
    <row r="68" spans="1:19">
      <c r="A68" t="s">
        <v>102</v>
      </c>
      <c r="B68" t="s">
        <v>103</v>
      </c>
      <c r="C68" s="3">
        <f>+payroll!G68</f>
        <v>1.479085465712553E-4</v>
      </c>
      <c r="D68" s="3">
        <f>+IFR!T68</f>
        <v>1.5364196656943526E-4</v>
      </c>
      <c r="E68" s="3">
        <f>+claims!R68</f>
        <v>0</v>
      </c>
      <c r="F68" s="3">
        <f>+costs!L68</f>
        <v>0</v>
      </c>
      <c r="H68" s="3">
        <f t="shared" si="6"/>
        <v>3.7693814142586321E-5</v>
      </c>
      <c r="J68" s="16">
        <f t="shared" si="4"/>
        <v>1944.2304051140391</v>
      </c>
      <c r="L68" s="6">
        <f>+J68/payroll!F68</f>
        <v>1.4118064727235864E-3</v>
      </c>
      <c r="O68" s="40">
        <v>1949.5099699679281</v>
      </c>
      <c r="P68" s="16">
        <f t="shared" si="7"/>
        <v>-5.2795648538890418</v>
      </c>
      <c r="R68" s="55">
        <v>3.7693814142583475E-5</v>
      </c>
      <c r="S68" s="3">
        <f t="shared" si="5"/>
        <v>2.8460307027744491E-18</v>
      </c>
    </row>
    <row r="69" spans="1:19">
      <c r="A69" t="s">
        <v>104</v>
      </c>
      <c r="B69" t="s">
        <v>105</v>
      </c>
      <c r="C69" s="3">
        <f>+payroll!G69</f>
        <v>2.6586570770999142E-4</v>
      </c>
      <c r="D69" s="3">
        <f>+IFR!T69</f>
        <v>2.171143094905253E-4</v>
      </c>
      <c r="E69" s="3">
        <f>+claims!R69</f>
        <v>0</v>
      </c>
      <c r="F69" s="3">
        <f>+costs!L69</f>
        <v>0</v>
      </c>
      <c r="H69" s="3">
        <f t="shared" si="6"/>
        <v>6.0372502150064589E-5</v>
      </c>
      <c r="J69" s="16">
        <f t="shared" ref="J69:J97" si="8">(+H69*$J$272)</f>
        <v>3113.9871881618637</v>
      </c>
      <c r="L69" s="6">
        <f>+J69/payroll!F69</f>
        <v>1.2579842531093247E-3</v>
      </c>
      <c r="O69" s="40">
        <v>3122.4432318852714</v>
      </c>
      <c r="P69" s="16">
        <f t="shared" si="7"/>
        <v>-8.4560437234076744</v>
      </c>
      <c r="R69" s="55">
        <v>6.0372502150059466E-5</v>
      </c>
      <c r="S69" s="3">
        <f t="shared" si="5"/>
        <v>5.1228552649940085E-18</v>
      </c>
    </row>
    <row r="70" spans="1:19">
      <c r="A70" t="s">
        <v>106</v>
      </c>
      <c r="B70" t="s">
        <v>107</v>
      </c>
      <c r="C70" s="3">
        <f>+payroll!G70</f>
        <v>3.6838578018507776E-3</v>
      </c>
      <c r="D70" s="3">
        <f>+IFR!T70</f>
        <v>3.2291775465084094E-3</v>
      </c>
      <c r="E70" s="3">
        <f>+claims!R70</f>
        <v>2.7711292091082661E-3</v>
      </c>
      <c r="F70" s="3">
        <f>+costs!L70</f>
        <v>2.798362031203273E-3</v>
      </c>
      <c r="H70" s="3">
        <f t="shared" si="6"/>
        <v>2.958816018633102E-3</v>
      </c>
      <c r="J70" s="16">
        <f t="shared" si="8"/>
        <v>152614.43282985938</v>
      </c>
      <c r="L70" s="6">
        <f>+J70/payroll!F70</f>
        <v>4.4495230061887634E-3</v>
      </c>
      <c r="O70" s="40">
        <v>153031.82581363083</v>
      </c>
      <c r="P70" s="16">
        <f t="shared" si="7"/>
        <v>-417.39298377145315</v>
      </c>
      <c r="R70" s="55">
        <v>2.9588734035631047E-3</v>
      </c>
      <c r="S70" s="3">
        <f t="shared" si="5"/>
        <v>-5.7384930002724738E-8</v>
      </c>
    </row>
    <row r="71" spans="1:19">
      <c r="A71" t="s">
        <v>108</v>
      </c>
      <c r="B71" t="s">
        <v>109</v>
      </c>
      <c r="C71" s="3">
        <f>+payroll!G71</f>
        <v>1.463432975875013E-4</v>
      </c>
      <c r="D71" s="3">
        <f>+IFR!T71</f>
        <v>9.9451790788616034E-5</v>
      </c>
      <c r="E71" s="3">
        <f>+claims!R71</f>
        <v>4.9484450162647599E-5</v>
      </c>
      <c r="F71" s="3">
        <f>+costs!L71</f>
        <v>2.4850242403618353E-6</v>
      </c>
      <c r="H71" s="3">
        <f t="shared" si="6"/>
        <v>3.9638068115628903E-5</v>
      </c>
      <c r="J71" s="16">
        <f t="shared" si="8"/>
        <v>2044.5141725076508</v>
      </c>
      <c r="L71" s="6">
        <f>+J71/payroll!F71</f>
        <v>1.5005068973722418E-3</v>
      </c>
      <c r="O71" s="40">
        <v>2050.1190571344614</v>
      </c>
      <c r="P71" s="16">
        <f t="shared" si="7"/>
        <v>-5.6048846268106445</v>
      </c>
      <c r="R71" s="55">
        <v>3.9639092849094872E-5</v>
      </c>
      <c r="S71" s="3">
        <f t="shared" si="5"/>
        <v>-1.024733465969244E-9</v>
      </c>
    </row>
    <row r="72" spans="1:19">
      <c r="A72" t="s">
        <v>110</v>
      </c>
      <c r="B72" t="s">
        <v>111</v>
      </c>
      <c r="C72" s="3">
        <f>+payroll!G72</f>
        <v>2.139879591158682E-4</v>
      </c>
      <c r="D72" s="3">
        <f>+IFR!T72</f>
        <v>1.6464796475004211E-4</v>
      </c>
      <c r="E72" s="3">
        <f>+claims!R72</f>
        <v>0</v>
      </c>
      <c r="F72" s="3">
        <f>+costs!L72</f>
        <v>0</v>
      </c>
      <c r="H72" s="3">
        <f t="shared" si="6"/>
        <v>4.7329490483238789E-5</v>
      </c>
      <c r="J72" s="16">
        <f t="shared" si="8"/>
        <v>2441.2343656171747</v>
      </c>
      <c r="L72" s="6">
        <f>+J72/payroll!F72</f>
        <v>1.2252955203938686E-3</v>
      </c>
      <c r="O72" s="40">
        <v>2447.8635465634566</v>
      </c>
      <c r="P72" s="16">
        <f t="shared" si="7"/>
        <v>-6.6291809462818492</v>
      </c>
      <c r="R72" s="55">
        <v>4.7329490483234669E-5</v>
      </c>
      <c r="S72" s="3">
        <f t="shared" si="5"/>
        <v>4.1199682554449168E-18</v>
      </c>
    </row>
    <row r="73" spans="1:19">
      <c r="A73" t="s">
        <v>112</v>
      </c>
      <c r="B73" t="s">
        <v>113</v>
      </c>
      <c r="C73" s="3">
        <f>+payroll!G73</f>
        <v>2.8406691796208347E-5</v>
      </c>
      <c r="D73" s="3">
        <f>+IFR!T73</f>
        <v>2.7139288686315662E-5</v>
      </c>
      <c r="E73" s="3">
        <f>+claims!R73</f>
        <v>0</v>
      </c>
      <c r="F73" s="3">
        <f>+costs!L73</f>
        <v>0</v>
      </c>
      <c r="H73" s="3">
        <f t="shared" si="6"/>
        <v>6.9432475603155016E-6</v>
      </c>
      <c r="J73" s="16">
        <f t="shared" si="8"/>
        <v>358.12966461645084</v>
      </c>
      <c r="L73" s="6">
        <f>+J73/payroll!F73</f>
        <v>1.3540675929757057E-3</v>
      </c>
      <c r="O73" s="40">
        <v>359.10216704490188</v>
      </c>
      <c r="P73" s="16">
        <f t="shared" si="7"/>
        <v>-0.97250242845103685</v>
      </c>
      <c r="R73" s="55">
        <v>6.9432475603149544E-6</v>
      </c>
      <c r="S73" s="3">
        <f t="shared" si="5"/>
        <v>5.4718328392627802E-19</v>
      </c>
    </row>
    <row r="74" spans="1:19">
      <c r="A74" t="s">
        <v>114</v>
      </c>
      <c r="B74" t="s">
        <v>115</v>
      </c>
      <c r="C74" s="3">
        <f>+payroll!G74</f>
        <v>5.185700108291209E-4</v>
      </c>
      <c r="D74" s="3">
        <f>+IFR!T74</f>
        <v>4.4766566093649036E-4</v>
      </c>
      <c r="E74" s="3">
        <f>+claims!R74</f>
        <v>0</v>
      </c>
      <c r="F74" s="3">
        <f>+costs!L74</f>
        <v>0</v>
      </c>
      <c r="H74" s="3">
        <f t="shared" si="6"/>
        <v>1.207794589707014E-4</v>
      </c>
      <c r="J74" s="16">
        <f t="shared" si="8"/>
        <v>6229.7515331238137</v>
      </c>
      <c r="L74" s="6">
        <f>+J74/payroll!F74</f>
        <v>1.2902802078192334E-3</v>
      </c>
      <c r="O74" s="40">
        <v>6246.6684464465052</v>
      </c>
      <c r="P74" s="16">
        <f t="shared" si="7"/>
        <v>-16.916913322691471</v>
      </c>
      <c r="R74" s="55">
        <v>1.2077945897069143E-4</v>
      </c>
      <c r="S74" s="3">
        <f t="shared" si="5"/>
        <v>9.9746599868666408E-18</v>
      </c>
    </row>
    <row r="75" spans="1:19">
      <c r="A75" t="s">
        <v>116</v>
      </c>
      <c r="B75" t="s">
        <v>117</v>
      </c>
      <c r="C75" s="3">
        <f>+payroll!G75</f>
        <v>2.102981580744326E-4</v>
      </c>
      <c r="D75" s="3">
        <f>+IFR!T75</f>
        <v>1.3812748720641116E-4</v>
      </c>
      <c r="E75" s="3">
        <f>+claims!R75</f>
        <v>4.9484450162647599E-5</v>
      </c>
      <c r="F75" s="3">
        <f>+costs!L75</f>
        <v>0</v>
      </c>
      <c r="H75" s="3">
        <f t="shared" si="6"/>
        <v>5.0975873184502608E-5</v>
      </c>
      <c r="J75" s="16">
        <f t="shared" si="8"/>
        <v>2629.3131864460115</v>
      </c>
      <c r="L75" s="6">
        <f>+J75/payroll!F75</f>
        <v>1.3428501689463387E-3</v>
      </c>
      <c r="O75" s="40">
        <v>2636.506094964418</v>
      </c>
      <c r="P75" s="16">
        <f t="shared" si="7"/>
        <v>-7.1929085184065116</v>
      </c>
      <c r="R75" s="55">
        <v>5.0976897918102076E-5</v>
      </c>
      <c r="S75" s="3">
        <f t="shared" si="5"/>
        <v>-1.0247335994684127E-9</v>
      </c>
    </row>
    <row r="76" spans="1:19">
      <c r="A76" t="s">
        <v>118</v>
      </c>
      <c r="B76" t="s">
        <v>119</v>
      </c>
      <c r="C76" s="3">
        <f>+payroll!G76</f>
        <v>1.3557247709386894E-3</v>
      </c>
      <c r="D76" s="3">
        <f>+IFR!T76</f>
        <v>9.9378859475371048E-4</v>
      </c>
      <c r="E76" s="3">
        <f>+claims!R76</f>
        <v>9.8968900325295198E-5</v>
      </c>
      <c r="F76" s="3">
        <f>+costs!L76</f>
        <v>1.334819475145631E-5</v>
      </c>
      <c r="H76" s="3">
        <f t="shared" si="6"/>
        <v>3.1654342261121812E-4</v>
      </c>
      <c r="J76" s="16">
        <f t="shared" si="8"/>
        <v>16327.170937161249</v>
      </c>
      <c r="L76" s="6">
        <f>+J76/payroll!F76</f>
        <v>1.2934811850944202E-3</v>
      </c>
      <c r="O76" s="40">
        <v>16371.613427850805</v>
      </c>
      <c r="P76" s="16">
        <f t="shared" si="7"/>
        <v>-44.442490689556507</v>
      </c>
      <c r="R76" s="55">
        <v>3.1654547207767524E-4</v>
      </c>
      <c r="S76" s="3">
        <f t="shared" si="5"/>
        <v>-2.0494664571121465E-9</v>
      </c>
    </row>
    <row r="77" spans="1:19">
      <c r="A77" t="s">
        <v>120</v>
      </c>
      <c r="B77" t="s">
        <v>121</v>
      </c>
      <c r="C77" s="3">
        <f>+payroll!G77</f>
        <v>1.5398729839844553E-4</v>
      </c>
      <c r="D77" s="3">
        <f>+IFR!T77</f>
        <v>9.2158659464117531E-5</v>
      </c>
      <c r="E77" s="3">
        <f>+claims!R77</f>
        <v>0</v>
      </c>
      <c r="F77" s="3">
        <f>+costs!L77</f>
        <v>0</v>
      </c>
      <c r="H77" s="3">
        <f t="shared" si="6"/>
        <v>3.0768244732820382E-5</v>
      </c>
      <c r="J77" s="16">
        <f t="shared" si="8"/>
        <v>1587.0125717512424</v>
      </c>
      <c r="L77" s="6">
        <f>+J77/payroll!F77</f>
        <v>1.106919848513773E-3</v>
      </c>
      <c r="O77" s="40">
        <v>1591.322110257787</v>
      </c>
      <c r="P77" s="16">
        <f t="shared" si="7"/>
        <v>-4.3095385065446408</v>
      </c>
      <c r="R77" s="55">
        <v>3.076824473281742E-5</v>
      </c>
      <c r="S77" s="3">
        <f t="shared" si="5"/>
        <v>2.961227183601034E-18</v>
      </c>
    </row>
    <row r="78" spans="1:19">
      <c r="A78" t="s">
        <v>122</v>
      </c>
      <c r="B78" t="s">
        <v>123</v>
      </c>
      <c r="C78" s="3">
        <f>+payroll!G78</f>
        <v>3.0480852033873553E-4</v>
      </c>
      <c r="D78" s="3">
        <f>+IFR!T78</f>
        <v>2.4356848584029716E-4</v>
      </c>
      <c r="E78" s="3">
        <f>+claims!R78</f>
        <v>0</v>
      </c>
      <c r="F78" s="3">
        <f>+costs!L78</f>
        <v>0</v>
      </c>
      <c r="H78" s="3">
        <f t="shared" si="6"/>
        <v>6.854712577237909E-5</v>
      </c>
      <c r="J78" s="16">
        <f t="shared" si="8"/>
        <v>3535.6306901101334</v>
      </c>
      <c r="L78" s="6">
        <f>+J78/payroll!F78</f>
        <v>1.2458349203659988E-3</v>
      </c>
      <c r="O78" s="40">
        <v>3545.2317083221033</v>
      </c>
      <c r="P78" s="16">
        <f t="shared" si="7"/>
        <v>-9.6010182119698584</v>
      </c>
      <c r="R78" s="55">
        <v>6.8547125772373208E-5</v>
      </c>
      <c r="S78" s="3">
        <f t="shared" si="5"/>
        <v>5.8817967857338616E-18</v>
      </c>
    </row>
    <row r="79" spans="1:19">
      <c r="A79" t="s">
        <v>124</v>
      </c>
      <c r="B79" t="s">
        <v>499</v>
      </c>
      <c r="C79" s="53">
        <f>+payroll!G79</f>
        <v>1.6808958978347196E-4</v>
      </c>
      <c r="D79" s="53">
        <f>+IFR!T79</f>
        <v>1.279613041480193E-4</v>
      </c>
      <c r="E79" s="3">
        <f>+claims!R79</f>
        <v>0</v>
      </c>
      <c r="F79" s="3">
        <f>+costs!L79</f>
        <v>0</v>
      </c>
      <c r="H79" s="3">
        <f t="shared" si="6"/>
        <v>3.7006361741436411E-5</v>
      </c>
      <c r="J79" s="16">
        <f t="shared" si="8"/>
        <v>1908.77191170373</v>
      </c>
      <c r="L79" s="6">
        <f>+J79/payroll!F79</f>
        <v>1.2196463650824482E-3</v>
      </c>
      <c r="O79" s="40">
        <v>1913.9551888876324</v>
      </c>
      <c r="P79" s="16">
        <f t="shared" si="7"/>
        <v>-5.183277183902419</v>
      </c>
      <c r="R79" s="55">
        <v>3.7006361741433172E-5</v>
      </c>
      <c r="S79" s="3">
        <f t="shared" si="5"/>
        <v>3.2390539903004445E-18</v>
      </c>
    </row>
    <row r="80" spans="1:19">
      <c r="A80" t="s">
        <v>125</v>
      </c>
      <c r="B80" t="s">
        <v>126</v>
      </c>
      <c r="C80" s="53">
        <f>+payroll!G80</f>
        <v>6.4667373665562328E-4</v>
      </c>
      <c r="D80" s="53">
        <f>+IFR!T80</f>
        <v>6.0588240988220193E-4</v>
      </c>
      <c r="E80" s="53">
        <f>+claims!R80</f>
        <v>7.2924452871270154E-4</v>
      </c>
      <c r="F80" s="53">
        <f>+costs!L80</f>
        <v>1.0639328563974463E-4</v>
      </c>
      <c r="H80" s="3">
        <f t="shared" si="6"/>
        <v>3.2979216900798017E-4</v>
      </c>
      <c r="J80" s="16">
        <f t="shared" si="8"/>
        <v>17010.535466863428</v>
      </c>
      <c r="L80" s="6">
        <f>+J80/payroll!F80</f>
        <v>2.8252277868871085E-3</v>
      </c>
      <c r="O80" s="40">
        <v>17057.508674040571</v>
      </c>
      <c r="P80" s="16">
        <f t="shared" si="7"/>
        <v>-46.973207177143195</v>
      </c>
      <c r="R80" s="55">
        <v>3.2980727033951428E-4</v>
      </c>
      <c r="S80" s="3">
        <f t="shared" si="5"/>
        <v>-1.5101331534111799E-8</v>
      </c>
    </row>
    <row r="81" spans="1:19">
      <c r="A81" t="s">
        <v>482</v>
      </c>
      <c r="B81" t="s">
        <v>535</v>
      </c>
      <c r="C81" s="53">
        <f>+payroll!G81</f>
        <v>4.4441223432310641E-5</v>
      </c>
      <c r="D81" s="53">
        <f>+IFR!T81</f>
        <v>3.8012684479204356E-5</v>
      </c>
      <c r="E81" s="53">
        <f>+claims!R81</f>
        <v>0</v>
      </c>
      <c r="F81" s="53">
        <f>+costs!L81</f>
        <v>0</v>
      </c>
      <c r="H81" s="3">
        <f>(C81*$C$3)+(D81*$D$3)+(E81*$E$3)+(F81*$F$3)</f>
        <v>1.0306738488939375E-5</v>
      </c>
      <c r="J81" s="16">
        <f t="shared" si="8"/>
        <v>531.61705185773292</v>
      </c>
      <c r="L81" s="6">
        <f>+J81/payroll!F81</f>
        <v>1.2847943083127322E-3</v>
      </c>
      <c r="O81" s="40">
        <v>533.06065992770527</v>
      </c>
      <c r="P81" s="16">
        <f t="shared" si="7"/>
        <v>-1.4436080699723561</v>
      </c>
      <c r="R81" s="55">
        <v>1.0306738488938518E-5</v>
      </c>
      <c r="S81" s="3">
        <f>+H81-R81</f>
        <v>8.5719734262135194E-19</v>
      </c>
    </row>
    <row r="82" spans="1:19">
      <c r="A82" t="s">
        <v>127</v>
      </c>
      <c r="B82" t="s">
        <v>493</v>
      </c>
      <c r="C82" s="53">
        <f>+payroll!G82</f>
        <v>9.6503153166521986E-4</v>
      </c>
      <c r="D82" s="53">
        <f>+IFR!T82</f>
        <v>9.4689155029738985E-4</v>
      </c>
      <c r="E82" s="53">
        <f>+claims!R82</f>
        <v>4.9484450162647599E-5</v>
      </c>
      <c r="F82" s="53">
        <f>+costs!L82</f>
        <v>2.3212204788889659E-4</v>
      </c>
      <c r="H82" s="3">
        <f t="shared" si="6"/>
        <v>3.8568628150306131E-4</v>
      </c>
      <c r="J82" s="16">
        <f t="shared" si="8"/>
        <v>19893.529280350325</v>
      </c>
      <c r="L82" s="6">
        <f>+J82/payroll!F82</f>
        <v>2.2140684388988695E-3</v>
      </c>
      <c r="O82" s="40">
        <v>19947.603230855901</v>
      </c>
      <c r="P82" s="16">
        <f t="shared" si="7"/>
        <v>-54.07395050557534</v>
      </c>
      <c r="R82" s="55">
        <v>3.8568730622406087E-4</v>
      </c>
      <c r="S82" s="3">
        <f t="shared" si="5"/>
        <v>-1.0247209995687193E-9</v>
      </c>
    </row>
    <row r="83" spans="1:19">
      <c r="A83" t="s">
        <v>128</v>
      </c>
      <c r="B83" t="s">
        <v>129</v>
      </c>
      <c r="C83" s="53">
        <f>+payroll!G83</f>
        <v>2.7366521044932033E-4</v>
      </c>
      <c r="D83" s="53">
        <f>+IFR!T83</f>
        <v>2.7864181739174911E-4</v>
      </c>
      <c r="E83" s="53">
        <f>+claims!R83</f>
        <v>0</v>
      </c>
      <c r="F83" s="53">
        <f>+costs!L83</f>
        <v>0</v>
      </c>
      <c r="H83" s="3">
        <f t="shared" si="6"/>
        <v>6.903837848013368E-5</v>
      </c>
      <c r="J83" s="16">
        <f t="shared" si="8"/>
        <v>3560.9692893667152</v>
      </c>
      <c r="L83" s="6">
        <f>+J83/payroll!F83</f>
        <v>1.3975564030463074E-3</v>
      </c>
      <c r="O83" s="40">
        <v>3570.6391146386904</v>
      </c>
      <c r="P83" s="16">
        <f t="shared" si="7"/>
        <v>-9.6698252719752418</v>
      </c>
      <c r="R83" s="55">
        <v>6.9038378480128421E-5</v>
      </c>
      <c r="S83" s="3">
        <f t="shared" si="5"/>
        <v>5.2583805365546965E-18</v>
      </c>
    </row>
    <row r="84" spans="1:19">
      <c r="A84" t="s">
        <v>130</v>
      </c>
      <c r="B84" t="s">
        <v>536</v>
      </c>
      <c r="C84" s="53">
        <f>+payroll!G84</f>
        <v>6.7299637792899672E-4</v>
      </c>
      <c r="D84" s="53">
        <f>+IFR!T84</f>
        <v>5.9637923876240087E-4</v>
      </c>
      <c r="E84" s="53">
        <f>+claims!R84</f>
        <v>9.8968900325295198E-5</v>
      </c>
      <c r="F84" s="53">
        <f>+costs!L84</f>
        <v>0</v>
      </c>
      <c r="H84" s="3">
        <f t="shared" si="6"/>
        <v>1.7351728713521899E-4</v>
      </c>
      <c r="J84" s="16">
        <f t="shared" si="8"/>
        <v>8949.9455848393591</v>
      </c>
      <c r="L84" s="6">
        <f>+J84/payroll!F84</f>
        <v>1.428329399792286E-3</v>
      </c>
      <c r="O84" s="40">
        <v>8974.3551928449142</v>
      </c>
      <c r="P84" s="16">
        <f t="shared" si="7"/>
        <v>-24.409608005555128</v>
      </c>
      <c r="R84" s="55">
        <v>1.7351933660241306E-4</v>
      </c>
      <c r="S84" s="3">
        <f t="shared" si="5"/>
        <v>-2.0494671940714682E-9</v>
      </c>
    </row>
    <row r="85" spans="1:19">
      <c r="A85" t="s">
        <v>131</v>
      </c>
      <c r="B85" t="s">
        <v>132</v>
      </c>
      <c r="C85" s="53">
        <f>+payroll!G85</f>
        <v>6.5916611794172571E-5</v>
      </c>
      <c r="D85" s="53">
        <f>+IFR!T85</f>
        <v>6.9726755541796352E-5</v>
      </c>
      <c r="E85" s="53">
        <f>+claims!R85</f>
        <v>0</v>
      </c>
      <c r="F85" s="53">
        <f>+costs!L85</f>
        <v>0</v>
      </c>
      <c r="H85" s="3">
        <f t="shared" si="6"/>
        <v>1.6955420916996115E-5</v>
      </c>
      <c r="J85" s="16">
        <f t="shared" si="8"/>
        <v>874.55317611614169</v>
      </c>
      <c r="L85" s="6">
        <f>+J85/payroll!F85</f>
        <v>1.4249907753810811E-3</v>
      </c>
      <c r="O85" s="40">
        <v>876.92802849955046</v>
      </c>
      <c r="P85" s="16">
        <f t="shared" si="7"/>
        <v>-2.3748523834087791</v>
      </c>
      <c r="R85" s="55">
        <v>1.6955420916994845E-5</v>
      </c>
      <c r="S85" s="3">
        <f t="shared" si="5"/>
        <v>1.2705494208814505E-18</v>
      </c>
    </row>
    <row r="86" spans="1:19">
      <c r="A86" t="s">
        <v>133</v>
      </c>
      <c r="B86" t="s">
        <v>134</v>
      </c>
      <c r="C86" s="53">
        <f>+payroll!G86</f>
        <v>6.1864793546543678E-5</v>
      </c>
      <c r="D86" s="53">
        <f>+IFR!T86</f>
        <v>6.205791745209641E-5</v>
      </c>
      <c r="E86" s="53">
        <f>+claims!R86</f>
        <v>0</v>
      </c>
      <c r="F86" s="53">
        <f>+costs!L86</f>
        <v>0</v>
      </c>
      <c r="H86" s="3">
        <f t="shared" si="6"/>
        <v>1.5490338874830011E-5</v>
      </c>
      <c r="J86" s="16">
        <f t="shared" si="8"/>
        <v>798.98488680503874</v>
      </c>
      <c r="L86" s="6">
        <f>+J86/payroll!F86</f>
        <v>1.3871253354902275E-3</v>
      </c>
      <c r="O86" s="40">
        <v>801.15453321940743</v>
      </c>
      <c r="P86" s="16">
        <f t="shared" si="7"/>
        <v>-2.1696464143686853</v>
      </c>
      <c r="R86" s="55">
        <v>1.5490338874828822E-5</v>
      </c>
      <c r="S86" s="3">
        <f t="shared" si="5"/>
        <v>1.1892342579450377E-18</v>
      </c>
    </row>
    <row r="87" spans="1:19">
      <c r="A87" t="s">
        <v>135</v>
      </c>
      <c r="B87" t="s">
        <v>136</v>
      </c>
      <c r="C87" s="53">
        <f>+payroll!G87</f>
        <v>3.3795422108445857E-5</v>
      </c>
      <c r="D87" s="53">
        <f>+IFR!T87</f>
        <v>3.4653423990344436E-5</v>
      </c>
      <c r="E87" s="53">
        <f>+claims!R87</f>
        <v>0</v>
      </c>
      <c r="F87" s="53">
        <f>+costs!L87</f>
        <v>0</v>
      </c>
      <c r="H87" s="3">
        <f t="shared" si="6"/>
        <v>8.5561057623487866E-6</v>
      </c>
      <c r="J87" s="16">
        <f t="shared" si="8"/>
        <v>441.32018345513467</v>
      </c>
      <c r="L87" s="6">
        <f>+J87/payroll!F87</f>
        <v>1.4025444125270908E-3</v>
      </c>
      <c r="O87" s="40">
        <v>442.51859004509049</v>
      </c>
      <c r="P87" s="16">
        <f t="shared" si="7"/>
        <v>-1.1984065899558232</v>
      </c>
      <c r="R87" s="55">
        <v>8.5561057623481361E-6</v>
      </c>
      <c r="S87" s="3">
        <f t="shared" si="5"/>
        <v>6.5052130349130266E-19</v>
      </c>
    </row>
    <row r="88" spans="1:19">
      <c r="A88" t="s">
        <v>137</v>
      </c>
      <c r="B88" t="s">
        <v>138</v>
      </c>
      <c r="C88" s="53">
        <f>+payroll!G88</f>
        <v>5.2117457061562626E-4</v>
      </c>
      <c r="D88" s="53">
        <f>+IFR!T88</f>
        <v>4.6395365422787041E-4</v>
      </c>
      <c r="E88" s="53">
        <f>+claims!R88</f>
        <v>1.4845335048794281E-4</v>
      </c>
      <c r="F88" s="53">
        <f>+costs!L88</f>
        <v>1.8601355266545566E-5</v>
      </c>
      <c r="H88" s="3">
        <f t="shared" si="6"/>
        <v>1.5656984383855585E-4</v>
      </c>
      <c r="J88" s="16">
        <f t="shared" si="8"/>
        <v>8075.8038908818853</v>
      </c>
      <c r="L88" s="6">
        <f>+J88/payroll!F88</f>
        <v>1.6642679680811052E-3</v>
      </c>
      <c r="O88" s="40">
        <v>8097.8927626720033</v>
      </c>
      <c r="P88" s="16">
        <f t="shared" si="7"/>
        <v>-22.088871790117992</v>
      </c>
      <c r="R88" s="55">
        <v>1.5657291803834782E-4</v>
      </c>
      <c r="S88" s="3">
        <f t="shared" si="5"/>
        <v>-3.0741997919742428E-9</v>
      </c>
    </row>
    <row r="89" spans="1:19">
      <c r="A89" t="s">
        <v>139</v>
      </c>
      <c r="B89" t="s">
        <v>140</v>
      </c>
      <c r="C89" s="53">
        <f>+payroll!G89</f>
        <v>6.9771271984901147E-5</v>
      </c>
      <c r="D89" s="53">
        <f>+IFR!T89</f>
        <v>6.8599635246192032E-5</v>
      </c>
      <c r="E89" s="53">
        <f>+claims!R89</f>
        <v>0</v>
      </c>
      <c r="F89" s="53">
        <f>+costs!L89</f>
        <v>0</v>
      </c>
      <c r="H89" s="3">
        <f t="shared" si="6"/>
        <v>1.7296363403886646E-5</v>
      </c>
      <c r="J89" s="16">
        <f t="shared" si="8"/>
        <v>892.13884009008416</v>
      </c>
      <c r="L89" s="6">
        <f>+J89/payroll!F89</f>
        <v>1.3733350815163818E-3</v>
      </c>
      <c r="O89" s="40">
        <v>894.56144640903483</v>
      </c>
      <c r="P89" s="16">
        <f t="shared" si="7"/>
        <v>-2.4226063189506704</v>
      </c>
      <c r="R89" s="55">
        <v>1.7296363403885304E-5</v>
      </c>
      <c r="S89" s="3">
        <f t="shared" si="5"/>
        <v>1.3417001884508117E-18</v>
      </c>
    </row>
    <row r="90" spans="1:19">
      <c r="A90" t="s">
        <v>141</v>
      </c>
      <c r="B90" t="s">
        <v>142</v>
      </c>
      <c r="C90" s="53">
        <f>+payroll!G90</f>
        <v>0.18129234585659726</v>
      </c>
      <c r="D90" s="53">
        <f>+IFR!T90</f>
        <v>0.21783144132563143</v>
      </c>
      <c r="E90" s="53">
        <f>+claims!R90</f>
        <v>0.34524519545055615</v>
      </c>
      <c r="F90" s="53">
        <f>+costs!L90</f>
        <v>0.28537384523441439</v>
      </c>
      <c r="H90" s="3">
        <f t="shared" ref="H90:H93" si="9">(C90*$C$3)+(D90*$D$3)+(E90*$E$3)+(F90*$F$3)</f>
        <v>0.27290155985601061</v>
      </c>
      <c r="J90" s="16">
        <f t="shared" si="8"/>
        <v>14076142.792768046</v>
      </c>
      <c r="L90" s="6">
        <f>+J90/payroll!F90</f>
        <v>8.3392098509745497E-3</v>
      </c>
      <c r="O90" s="40">
        <v>9665452.1568721738</v>
      </c>
      <c r="P90" s="16">
        <f t="shared" si="7"/>
        <v>4410690.6358958725</v>
      </c>
      <c r="R90" s="55">
        <v>0.18688171018236238</v>
      </c>
      <c r="S90" s="3">
        <f t="shared" ref="S90:S93" si="10">+H90-R90</f>
        <v>8.601984967364823E-2</v>
      </c>
    </row>
    <row r="91" spans="1:19">
      <c r="A91" t="s">
        <v>143</v>
      </c>
      <c r="B91" t="s">
        <v>485</v>
      </c>
      <c r="C91" s="53">
        <f>+payroll!G91</f>
        <v>5.0471605345290112E-2</v>
      </c>
      <c r="D91" s="53">
        <f>+IFR!T91</f>
        <v>5.871299304938065E-2</v>
      </c>
      <c r="E91" s="53">
        <f>+claims!R91</f>
        <v>3.7855604374425415E-2</v>
      </c>
      <c r="F91" s="53">
        <f>+costs!L91</f>
        <v>3.3469877817793765E-2</v>
      </c>
      <c r="H91" s="3">
        <f>(C91*$C$3)+(D91*$D$3)+(E91*$E$3)+(F91*$F$3)</f>
        <v>3.9408342146173919E-2</v>
      </c>
      <c r="J91" s="16">
        <f t="shared" si="8"/>
        <v>2032665.0077357029</v>
      </c>
      <c r="L91" s="6">
        <f>+J91/payroll!F91</f>
        <v>4.3255307115781403E-3</v>
      </c>
      <c r="O91" s="40">
        <v>2172737.4528509383</v>
      </c>
      <c r="P91" s="16">
        <f t="shared" si="7"/>
        <v>-140072.4451152354</v>
      </c>
      <c r="R91" s="55">
        <v>4.200992197528533E-2</v>
      </c>
      <c r="S91" s="3">
        <f>+H91-R91</f>
        <v>-2.6015798291114112E-3</v>
      </c>
    </row>
    <row r="92" spans="1:19">
      <c r="A92" t="s">
        <v>144</v>
      </c>
      <c r="B92" t="s">
        <v>145</v>
      </c>
      <c r="C92" s="53">
        <f>+payroll!G92</f>
        <v>9.8797631518145797E-5</v>
      </c>
      <c r="D92" s="53">
        <f>+IFR!T92</f>
        <v>1.0272264968566385E-4</v>
      </c>
      <c r="E92" s="53">
        <f>+claims!R92</f>
        <v>2.9690670097588562E-4</v>
      </c>
      <c r="F92" s="53">
        <f>+costs!L92</f>
        <v>3.056402701190108E-4</v>
      </c>
      <c r="H92" s="3">
        <f>(C92*$C$3)+(D92*$D$3)+(E92*$E$3)+(F92*$F$3)</f>
        <v>2.5311020236826556E-4</v>
      </c>
      <c r="J92" s="16">
        <f t="shared" si="8"/>
        <v>13055.313251862501</v>
      </c>
      <c r="L92" s="6">
        <f>+J92/payroll!F92</f>
        <v>1.4192583925236974E-2</v>
      </c>
      <c r="O92" s="40">
        <v>13091.082995446181</v>
      </c>
      <c r="P92" s="16">
        <f t="shared" si="7"/>
        <v>-35.769743583679883</v>
      </c>
      <c r="R92" s="55">
        <v>2.5311635075331328E-4</v>
      </c>
      <c r="S92" s="3">
        <f>+H92-R92</f>
        <v>-6.1483850477246985E-9</v>
      </c>
    </row>
    <row r="93" spans="1:19">
      <c r="A93" t="s">
        <v>484</v>
      </c>
      <c r="B93" t="s">
        <v>489</v>
      </c>
      <c r="C93" s="53">
        <f>+payroll!G93</f>
        <v>8.0400102973232895E-3</v>
      </c>
      <c r="D93" s="53">
        <f>+IFR!T93</f>
        <v>9.4630699477153222E-3</v>
      </c>
      <c r="E93" s="53">
        <f>+claims!R93</f>
        <v>9.84480113762147E-3</v>
      </c>
      <c r="F93" s="53">
        <f>+costs!L93</f>
        <v>1.1866786045849197E-2</v>
      </c>
      <c r="H93" s="3">
        <f t="shared" si="9"/>
        <v>1.0784676828782565E-2</v>
      </c>
      <c r="J93" s="16">
        <f t="shared" si="8"/>
        <v>556268.901855662</v>
      </c>
      <c r="L93" s="6">
        <f>+J93/payroll!F93</f>
        <v>7.4310277651561518E-3</v>
      </c>
      <c r="O93" s="40">
        <v>4871491.0044814181</v>
      </c>
      <c r="P93" s="16">
        <f t="shared" si="7"/>
        <v>-4315222.1026257556</v>
      </c>
      <c r="R93" s="55">
        <v>9.4190375709240784E-2</v>
      </c>
      <c r="S93" s="3">
        <f t="shared" si="10"/>
        <v>-8.3405698880458221E-2</v>
      </c>
    </row>
    <row r="94" spans="1:19">
      <c r="A94" t="s">
        <v>506</v>
      </c>
      <c r="B94" t="s">
        <v>547</v>
      </c>
      <c r="C94" s="53">
        <f>+payroll!G94</f>
        <v>3.2689942437559469E-4</v>
      </c>
      <c r="D94" s="53">
        <f>+IFR!T94</f>
        <v>1.3759707765553854E-4</v>
      </c>
      <c r="E94" s="53">
        <f>+claims!R94</f>
        <v>4.9484450162647599E-5</v>
      </c>
      <c r="F94" s="53">
        <f>+costs!L94</f>
        <v>2.5659004838208838E-6</v>
      </c>
      <c r="H94" s="3">
        <f>(C94*$C$3)+(D94*$D$3)+(E94*$E$3)+(F94*$F$3)</f>
        <v>6.7024270568581321E-5</v>
      </c>
      <c r="J94" s="16">
        <f t="shared" si="8"/>
        <v>3457.0824864550227</v>
      </c>
      <c r="L94" s="6">
        <f>+J94/payroll!F94</f>
        <v>1.135837737306748E-3</v>
      </c>
      <c r="O94" s="40">
        <v>3466.5232055610363</v>
      </c>
      <c r="P94" s="16">
        <f>+J94-O94</f>
        <v>-9.4407191060136029</v>
      </c>
      <c r="R94" s="55">
        <v>6.702529530203943E-5</v>
      </c>
      <c r="S94" s="3">
        <f>+H94-R94</f>
        <v>-1.0247334581087782E-9</v>
      </c>
    </row>
    <row r="95" spans="1:19">
      <c r="A95" t="s">
        <v>146</v>
      </c>
      <c r="B95" t="s">
        <v>147</v>
      </c>
      <c r="C95" s="53">
        <f>+payroll!G95</f>
        <v>3.5538614141701315E-3</v>
      </c>
      <c r="D95" s="53">
        <f>+IFR!T95</f>
        <v>3.2581511682248268E-3</v>
      </c>
      <c r="E95" s="53">
        <f>+claims!R95</f>
        <v>1.7814402058553135E-3</v>
      </c>
      <c r="F95" s="53">
        <f>+costs!L95</f>
        <v>6.7941312756990572E-4</v>
      </c>
      <c r="H95" s="3">
        <f t="shared" si="6"/>
        <v>1.5263654802196102E-3</v>
      </c>
      <c r="J95" s="16">
        <f t="shared" si="8"/>
        <v>78729.262173728072</v>
      </c>
      <c r="L95" s="6">
        <f>+J95/payroll!F95</f>
        <v>2.3793394250315935E-3</v>
      </c>
      <c r="O95" s="40">
        <v>78944.959732553965</v>
      </c>
      <c r="P95" s="16">
        <f t="shared" si="7"/>
        <v>-215.69755882589379</v>
      </c>
      <c r="R95" s="55">
        <v>1.5264023705924316E-3</v>
      </c>
      <c r="S95" s="3">
        <f t="shared" si="5"/>
        <v>-3.6890372821394776E-8</v>
      </c>
    </row>
    <row r="96" spans="1:19">
      <c r="A96" t="s">
        <v>148</v>
      </c>
      <c r="B96" t="s">
        <v>149</v>
      </c>
      <c r="C96" s="53">
        <f>+payroll!G96</f>
        <v>8.8118606448194469E-4</v>
      </c>
      <c r="D96" s="53">
        <f>+IFR!T96</f>
        <v>8.4368269185675939E-4</v>
      </c>
      <c r="E96" s="53">
        <f>+claims!R96</f>
        <v>1.6147557421495535E-3</v>
      </c>
      <c r="F96" s="53">
        <f>+costs!L96</f>
        <v>1.2468207907556335E-3</v>
      </c>
      <c r="H96" s="3">
        <f t="shared" si="6"/>
        <v>1.2059144303181511E-3</v>
      </c>
      <c r="J96" s="16">
        <f t="shared" si="8"/>
        <v>62200.537534391682</v>
      </c>
      <c r="L96" s="6">
        <f>+J96/payroll!F96</f>
        <v>7.5813618410027128E-3</v>
      </c>
      <c r="O96" s="40">
        <v>62371.172756350599</v>
      </c>
      <c r="P96" s="16">
        <f t="shared" si="7"/>
        <v>-170.6352219589171</v>
      </c>
      <c r="R96" s="55">
        <v>1.2059478689260166E-3</v>
      </c>
      <c r="S96" s="3">
        <f t="shared" si="5"/>
        <v>-3.3438607865499473E-8</v>
      </c>
    </row>
    <row r="97" spans="1:19">
      <c r="A97" t="s">
        <v>150</v>
      </c>
      <c r="B97" t="s">
        <v>151</v>
      </c>
      <c r="C97" s="53">
        <f>+payroll!G97</f>
        <v>9.406365426993975E-5</v>
      </c>
      <c r="D97" s="53">
        <f>+IFR!T97</f>
        <v>9.507591199391693E-5</v>
      </c>
      <c r="E97" s="53">
        <f>+claims!R97</f>
        <v>0</v>
      </c>
      <c r="F97" s="53">
        <f>+costs!L97</f>
        <v>0</v>
      </c>
      <c r="H97" s="3">
        <f t="shared" si="6"/>
        <v>2.3642445782982083E-5</v>
      </c>
      <c r="J97" s="16">
        <f t="shared" si="8"/>
        <v>1219.4669865101644</v>
      </c>
      <c r="L97" s="6">
        <f>+J97/payroll!F97</f>
        <v>1.3924156904511582E-3</v>
      </c>
      <c r="O97" s="40">
        <v>1222.778453621017</v>
      </c>
      <c r="P97" s="16">
        <f t="shared" si="7"/>
        <v>-3.3114671108526181</v>
      </c>
      <c r="R97" s="55">
        <v>2.3642445782980274E-5</v>
      </c>
      <c r="S97" s="3">
        <f t="shared" si="5"/>
        <v>1.8092623753351855E-18</v>
      </c>
    </row>
    <row r="98" spans="1:19">
      <c r="A98" t="s">
        <v>152</v>
      </c>
      <c r="B98" t="s">
        <v>153</v>
      </c>
      <c r="C98" s="53">
        <f>+payroll!G98</f>
        <v>1.94755408337476E-3</v>
      </c>
      <c r="D98" s="53">
        <f>+IFR!T98</f>
        <v>1.4649248783163143E-3</v>
      </c>
      <c r="E98" s="53">
        <f>+claims!R98</f>
        <v>2.4742225081323798E-4</v>
      </c>
      <c r="F98" s="53">
        <f>+costs!L98</f>
        <v>6.4488556822269361E-4</v>
      </c>
      <c r="H98" s="3">
        <f t="shared" si="6"/>
        <v>8.5060454876698609E-4</v>
      </c>
      <c r="J98" s="16">
        <f t="shared" ref="J98:J129" si="11">(+H98*$J$272)</f>
        <v>43873.80964381255</v>
      </c>
      <c r="L98" s="6">
        <f>+J98/payroll!F98</f>
        <v>2.4195607308056168E-3</v>
      </c>
      <c r="O98" s="40">
        <v>43993.21412851059</v>
      </c>
      <c r="P98" s="16">
        <f t="shared" si="7"/>
        <v>-119.4044846980396</v>
      </c>
      <c r="R98" s="55">
        <v>8.5060967240000135E-4</v>
      </c>
      <c r="S98" s="3">
        <f t="shared" si="5"/>
        <v>-5.1236330152540366E-9</v>
      </c>
    </row>
    <row r="99" spans="1:19">
      <c r="A99" t="s">
        <v>154</v>
      </c>
      <c r="B99" t="s">
        <v>479</v>
      </c>
      <c r="C99" s="53">
        <f>+payroll!G99</f>
        <v>1.7211300092758904E-2</v>
      </c>
      <c r="D99" s="53">
        <f>+IFR!T99</f>
        <v>1.4211705104489139E-2</v>
      </c>
      <c r="E99" s="53">
        <f>+claims!R99</f>
        <v>1.9298935563432564E-3</v>
      </c>
      <c r="F99" s="53">
        <f>+costs!L99</f>
        <v>3.7248848848605454E-3</v>
      </c>
      <c r="H99" s="3">
        <f t="shared" si="6"/>
        <v>6.4522906140238208E-3</v>
      </c>
      <c r="J99" s="16">
        <f t="shared" si="11"/>
        <v>332806.32060643734</v>
      </c>
      <c r="L99" s="6">
        <f>+J99/payroll!F99</f>
        <v>2.0768187514206664E-3</v>
      </c>
      <c r="O99" s="40">
        <v>333712.12434487027</v>
      </c>
      <c r="P99" s="16">
        <f t="shared" si="7"/>
        <v>-905.80373843293637</v>
      </c>
      <c r="R99" s="55">
        <v>6.4523305784320688E-3</v>
      </c>
      <c r="S99" s="3">
        <f t="shared" si="5"/>
        <v>-3.996440824799441E-8</v>
      </c>
    </row>
    <row r="100" spans="1:19">
      <c r="A100" t="s">
        <v>155</v>
      </c>
      <c r="B100" t="s">
        <v>537</v>
      </c>
      <c r="C100" s="53">
        <f>+payroll!G100</f>
        <v>4.2154444860007434E-4</v>
      </c>
      <c r="D100" s="53">
        <f>+IFR!T100</f>
        <v>3.7612667276254588E-4</v>
      </c>
      <c r="E100" s="53">
        <f>+claims!R100</f>
        <v>1.4845335048794281E-4</v>
      </c>
      <c r="F100" s="53">
        <f>+costs!L100</f>
        <v>8.6832168829312409E-6</v>
      </c>
      <c r="H100" s="3">
        <f>(C100*$C$3)+(D100*$D$3)+(E100*$E$3)+(F100*$F$3)</f>
        <v>1.2718682287327771E-4</v>
      </c>
      <c r="J100" s="16">
        <f t="shared" si="11"/>
        <v>6560.2405536537026</v>
      </c>
      <c r="L100" s="6">
        <f>+J100/payroll!F100</f>
        <v>1.6714642714633972E-3</v>
      </c>
      <c r="O100" s="40">
        <v>6578.2139076255698</v>
      </c>
      <c r="P100" s="16">
        <f t="shared" si="7"/>
        <v>-17.973353971867255</v>
      </c>
      <c r="R100" s="55">
        <v>1.2718989707360934E-4</v>
      </c>
      <c r="S100" s="3">
        <f>+H100-R100</f>
        <v>-3.0742003316358742E-9</v>
      </c>
    </row>
    <row r="101" spans="1:19">
      <c r="A101" t="s">
        <v>509</v>
      </c>
      <c r="B101" t="s">
        <v>510</v>
      </c>
      <c r="C101" s="53">
        <f>+payroll!G101</f>
        <v>4.0571778875508656E-3</v>
      </c>
      <c r="D101" s="53">
        <f>+IFR!T101</f>
        <v>3.7942405213713731E-3</v>
      </c>
      <c r="E101" s="53">
        <f>+claims!R101</f>
        <v>9.4020455309030428E-4</v>
      </c>
      <c r="F101" s="53">
        <f>+costs!L101</f>
        <v>6.1379448112408943E-4</v>
      </c>
      <c r="H101" s="3">
        <f>(C101*$C$3)+(D101*$D$3)+(E101*$E$3)+(F101*$F$3)</f>
        <v>1.4907346727532792E-3</v>
      </c>
      <c r="J101" s="16">
        <f t="shared" si="11"/>
        <v>76891.440748367473</v>
      </c>
      <c r="L101" s="6">
        <f>+J101/payroll!F101</f>
        <v>2.0355166364375557E-3</v>
      </c>
      <c r="O101" s="40">
        <v>77101.246716242516</v>
      </c>
      <c r="P101" s="16">
        <f t="shared" si="7"/>
        <v>-209.80596787504328</v>
      </c>
      <c r="R101" s="55">
        <v>1.4907541426583887E-3</v>
      </c>
      <c r="S101" s="3">
        <f>+H101-R101</f>
        <v>-1.9469905109589097E-8</v>
      </c>
    </row>
    <row r="102" spans="1:19">
      <c r="A102" t="s">
        <v>553</v>
      </c>
      <c r="B102" t="s">
        <v>554</v>
      </c>
      <c r="C102" s="53">
        <f>+payroll!G102</f>
        <v>1.2315982862035627E-2</v>
      </c>
      <c r="D102" s="53">
        <f>+IFR!T102</f>
        <v>1.3726689771012036E-2</v>
      </c>
      <c r="E102" s="53">
        <f>+claims!R102</f>
        <v>8.0125742592308077E-2</v>
      </c>
      <c r="F102" s="53">
        <f>+costs!L102</f>
        <v>9.870191105999794E-2</v>
      </c>
      <c r="H102" s="3">
        <f t="shared" si="6"/>
        <v>7.4495342103975931E-2</v>
      </c>
      <c r="J102" s="16">
        <f t="shared" si="11"/>
        <v>3842437.0802605194</v>
      </c>
      <c r="L102" s="6">
        <f>+J102/payroll!F102</f>
        <v>3.3508763036323858E-2</v>
      </c>
      <c r="O102" s="40">
        <v>3852957.0483604432</v>
      </c>
      <c r="P102" s="16">
        <f t="shared" si="7"/>
        <v>-10519.968099923804</v>
      </c>
      <c r="R102" s="55">
        <v>7.4497001358061699E-2</v>
      </c>
      <c r="S102" s="3">
        <f t="shared" ref="S102:S165" si="12">+H102-R102</f>
        <v>-1.6592540857673921E-6</v>
      </c>
    </row>
    <row r="103" spans="1:19">
      <c r="A103" t="s">
        <v>156</v>
      </c>
      <c r="B103" t="s">
        <v>157</v>
      </c>
      <c r="C103" s="53">
        <f>+payroll!G103</f>
        <v>0.15748685253007386</v>
      </c>
      <c r="D103" s="53">
        <f>+IFR!T103</f>
        <v>0.20050661184235682</v>
      </c>
      <c r="E103" s="53">
        <f>+claims!R103</f>
        <v>0.27299789821309062</v>
      </c>
      <c r="F103" s="53">
        <f>+costs!L103</f>
        <v>0.32027299567815892</v>
      </c>
      <c r="H103" s="3">
        <f t="shared" ref="H103:H167" si="13">(C103*$C$3)+(D103*$D$3)+(E103*$E$3)+(F103*$F$3)</f>
        <v>0.2778626651854128</v>
      </c>
      <c r="J103" s="16">
        <f t="shared" si="11"/>
        <v>14332034.430263534</v>
      </c>
      <c r="L103" s="6">
        <f>+J103/payroll!F103</f>
        <v>9.7742680935056937E-3</v>
      </c>
      <c r="O103" s="40">
        <v>14371245.508079514</v>
      </c>
      <c r="P103" s="16">
        <f t="shared" si="7"/>
        <v>-39211.077815979719</v>
      </c>
      <c r="R103" s="55">
        <v>0.27786831846153554</v>
      </c>
      <c r="S103" s="3">
        <f t="shared" si="12"/>
        <v>-5.6532761227301442E-6</v>
      </c>
    </row>
    <row r="104" spans="1:19">
      <c r="A104" t="s">
        <v>514</v>
      </c>
      <c r="B104" t="s">
        <v>513</v>
      </c>
      <c r="C104" s="53">
        <f>+payroll!G104</f>
        <v>5.3350369987522012E-3</v>
      </c>
      <c r="D104" s="53">
        <f>+IFR!T104</f>
        <v>5.2532645934342294E-3</v>
      </c>
      <c r="E104" s="53">
        <f>+claims!R104</f>
        <v>2.0783469068311991E-3</v>
      </c>
      <c r="F104" s="53">
        <f>+costs!L104</f>
        <v>3.3393297593876936E-3</v>
      </c>
      <c r="H104" s="3">
        <f>(C104*$C$3)+(D104*$D$3)+(E104*$E$3)+(F104*$F$3)</f>
        <v>3.6388875906805999E-3</v>
      </c>
      <c r="J104" s="16">
        <f t="shared" si="11"/>
        <v>187692.22631148569</v>
      </c>
      <c r="L104" s="6">
        <f>+J104/payroll!F104</f>
        <v>3.7785881446692092E-3</v>
      </c>
      <c r="O104" s="40">
        <v>188204.13118789875</v>
      </c>
      <c r="P104" s="16">
        <f t="shared" si="7"/>
        <v>-511.90487641305663</v>
      </c>
      <c r="R104" s="55">
        <v>3.6389306293107908E-3</v>
      </c>
      <c r="S104" s="3">
        <f t="shared" si="12"/>
        <v>-4.3038630190977978E-8</v>
      </c>
    </row>
    <row r="105" spans="1:19">
      <c r="A105" t="s">
        <v>158</v>
      </c>
      <c r="B105" t="s">
        <v>159</v>
      </c>
      <c r="C105" s="53">
        <f>+payroll!G105</f>
        <v>6.7859321256214349E-3</v>
      </c>
      <c r="D105" s="53">
        <f>+IFR!T105</f>
        <v>4.2528016784987048E-3</v>
      </c>
      <c r="E105" s="53">
        <f>+claims!R105</f>
        <v>5.9381340195177124E-4</v>
      </c>
      <c r="F105" s="53">
        <f>+costs!L105</f>
        <v>2.7972490114371441E-4</v>
      </c>
      <c r="H105" s="3">
        <f t="shared" si="13"/>
        <v>1.636748676494012E-3</v>
      </c>
      <c r="J105" s="16">
        <f t="shared" si="11"/>
        <v>84422.779035633983</v>
      </c>
      <c r="L105" s="6">
        <f>+J105/payroll!F105</f>
        <v>1.336198070555736E-3</v>
      </c>
      <c r="O105" s="40">
        <v>84652.665389538801</v>
      </c>
      <c r="P105" s="16">
        <f t="shared" si="7"/>
        <v>-229.88635390481795</v>
      </c>
      <c r="R105" s="55">
        <v>1.6367609732819569E-3</v>
      </c>
      <c r="S105" s="3">
        <f t="shared" si="12"/>
        <v>-1.2296787944886603E-8</v>
      </c>
    </row>
    <row r="106" spans="1:19">
      <c r="A106" t="s">
        <v>160</v>
      </c>
      <c r="B106" t="s">
        <v>161</v>
      </c>
      <c r="C106" s="53">
        <f>+payroll!G106</f>
        <v>7.3562777897862369E-3</v>
      </c>
      <c r="D106" s="53">
        <f>+IFR!T106</f>
        <v>6.7455055636204842E-3</v>
      </c>
      <c r="E106" s="53">
        <f>+claims!R106</f>
        <v>3.1175203602467989E-3</v>
      </c>
      <c r="F106" s="53">
        <f>+costs!L106</f>
        <v>3.6593302164933533E-3</v>
      </c>
      <c r="H106" s="3">
        <f t="shared" si="13"/>
        <v>4.4259491031088723E-3</v>
      </c>
      <c r="J106" s="16">
        <f t="shared" si="11"/>
        <v>228288.51400393341</v>
      </c>
      <c r="L106" s="6">
        <f>+J106/payroll!F106</f>
        <v>3.3330869857210884E-3</v>
      </c>
      <c r="O106" s="40">
        <v>228911.77122439721</v>
      </c>
      <c r="P106" s="16">
        <f t="shared" si="7"/>
        <v>-623.25722046379815</v>
      </c>
      <c r="R106" s="55">
        <v>4.4260136611273485E-3</v>
      </c>
      <c r="S106" s="3">
        <f t="shared" si="12"/>
        <v>-6.4558018476185142E-8</v>
      </c>
    </row>
    <row r="107" spans="1:19">
      <c r="A107" t="s">
        <v>162</v>
      </c>
      <c r="B107" t="s">
        <v>163</v>
      </c>
      <c r="C107" s="53">
        <f>+payroll!G107</f>
        <v>7.827969917512851E-3</v>
      </c>
      <c r="D107" s="53">
        <f>+IFR!T107</f>
        <v>8.7804881067371447E-3</v>
      </c>
      <c r="E107" s="53">
        <f>+claims!R107</f>
        <v>5.4927739680538839E-3</v>
      </c>
      <c r="F107" s="53">
        <f>+costs!L107</f>
        <v>4.9864879552656187E-3</v>
      </c>
      <c r="H107" s="3">
        <f t="shared" si="13"/>
        <v>5.8918661213987035E-3</v>
      </c>
      <c r="J107" s="16">
        <f t="shared" si="11"/>
        <v>303899.87101736956</v>
      </c>
      <c r="L107" s="6">
        <f>+J107/payroll!F107</f>
        <v>4.1696737471400907E-3</v>
      </c>
      <c r="O107" s="40">
        <v>304730.99509791913</v>
      </c>
      <c r="P107" s="16">
        <f t="shared" si="7"/>
        <v>-831.12408054957632</v>
      </c>
      <c r="R107" s="55">
        <v>5.8919798665581832E-3</v>
      </c>
      <c r="S107" s="3">
        <f t="shared" si="12"/>
        <v>-1.1374515947962932E-7</v>
      </c>
    </row>
    <row r="108" spans="1:19">
      <c r="A108" t="s">
        <v>164</v>
      </c>
      <c r="B108" t="s">
        <v>165</v>
      </c>
      <c r="C108" s="53">
        <f>+payroll!G108</f>
        <v>4.9006853927816819E-2</v>
      </c>
      <c r="D108" s="53">
        <f>+IFR!T108</f>
        <v>3.542534669004771E-2</v>
      </c>
      <c r="E108" s="53">
        <f>+claims!R108</f>
        <v>1.3162863743264263E-2</v>
      </c>
      <c r="F108" s="53">
        <f>+costs!L108</f>
        <v>1.3442026465472314E-2</v>
      </c>
      <c r="H108" s="3">
        <f t="shared" si="13"/>
        <v>2.0593670518006091E-2</v>
      </c>
      <c r="J108" s="16">
        <f t="shared" si="11"/>
        <v>1062212.4952001686</v>
      </c>
      <c r="L108" s="6">
        <f>+J108/payroll!F108</f>
        <v>2.32795880151911E-3</v>
      </c>
      <c r="O108" s="40">
        <v>1065111.0348118595</v>
      </c>
      <c r="P108" s="16">
        <f t="shared" si="7"/>
        <v>-2898.5396116909105</v>
      </c>
      <c r="R108" s="55">
        <v>2.059394309641488E-2</v>
      </c>
      <c r="S108" s="3">
        <f t="shared" si="12"/>
        <v>-2.7257840878869288E-7</v>
      </c>
    </row>
    <row r="109" spans="1:19">
      <c r="A109" t="s">
        <v>166</v>
      </c>
      <c r="B109" t="s">
        <v>167</v>
      </c>
      <c r="C109" s="53">
        <f>+payroll!G109</f>
        <v>1.1417755421393767E-2</v>
      </c>
      <c r="D109" s="53">
        <f>+IFR!T109</f>
        <v>9.3958294869432423E-3</v>
      </c>
      <c r="E109" s="53">
        <f>+claims!R109</f>
        <v>4.9484450162647605E-3</v>
      </c>
      <c r="F109" s="53">
        <f>+costs!L109</f>
        <v>2.2256931650603685E-3</v>
      </c>
      <c r="H109" s="3">
        <f t="shared" si="13"/>
        <v>4.6793807650180614E-3</v>
      </c>
      <c r="J109" s="16">
        <f t="shared" si="11"/>
        <v>241360.40799795993</v>
      </c>
      <c r="L109" s="6">
        <f>+J109/payroll!F109</f>
        <v>2.2704189504630578E-3</v>
      </c>
      <c r="O109" s="40">
        <v>242021.12295594779</v>
      </c>
      <c r="P109" s="16">
        <f t="shared" si="7"/>
        <v>-660.71495798786054</v>
      </c>
      <c r="R109" s="55">
        <v>4.6794832382575195E-3</v>
      </c>
      <c r="S109" s="3">
        <f t="shared" si="12"/>
        <v>-1.024732394581257E-7</v>
      </c>
    </row>
    <row r="110" spans="1:19">
      <c r="A110" t="s">
        <v>168</v>
      </c>
      <c r="B110" t="s">
        <v>169</v>
      </c>
      <c r="C110" s="53">
        <f>+payroll!G110</f>
        <v>3.9061777228351129E-2</v>
      </c>
      <c r="D110" s="53">
        <f>+IFR!T110</f>
        <v>3.5103167088688506E-2</v>
      </c>
      <c r="E110" s="53">
        <f>+claims!R110</f>
        <v>1.5785539601884582E-2</v>
      </c>
      <c r="F110" s="53">
        <f>+costs!L110</f>
        <v>1.2175936164205306E-2</v>
      </c>
      <c r="H110" s="3">
        <f t="shared" si="13"/>
        <v>1.8944010678435822E-2</v>
      </c>
      <c r="J110" s="16">
        <f t="shared" si="11"/>
        <v>977123.7640344773</v>
      </c>
      <c r="L110" s="6">
        <f>+J110/payroll!F110</f>
        <v>2.6866944876910328E-3</v>
      </c>
      <c r="O110" s="40">
        <v>979794.05382407759</v>
      </c>
      <c r="P110" s="16">
        <f t="shared" si="7"/>
        <v>-2670.2897896002978</v>
      </c>
      <c r="R110" s="55">
        <v>1.8944337567794432E-2</v>
      </c>
      <c r="S110" s="3">
        <f t="shared" si="12"/>
        <v>-3.2688935860947232E-7</v>
      </c>
    </row>
    <row r="111" spans="1:19">
      <c r="A111" t="s">
        <v>170</v>
      </c>
      <c r="B111" t="s">
        <v>171</v>
      </c>
      <c r="C111" s="53">
        <f>+payroll!G111</f>
        <v>9.3623379778904128E-3</v>
      </c>
      <c r="D111" s="53">
        <f>+IFR!T111</f>
        <v>7.5228870616181652E-3</v>
      </c>
      <c r="E111" s="53">
        <f>+claims!R111</f>
        <v>2.6721603087829704E-3</v>
      </c>
      <c r="F111" s="53">
        <f>+costs!L111</f>
        <v>1.0518359391244005E-3</v>
      </c>
      <c r="H111" s="3">
        <f t="shared" si="13"/>
        <v>3.1425787397306583E-3</v>
      </c>
      <c r="J111" s="16">
        <f t="shared" si="11"/>
        <v>162092.83340595575</v>
      </c>
      <c r="L111" s="6">
        <f>+J111/payroll!F111</f>
        <v>1.8595172282065248E-3</v>
      </c>
      <c r="O111" s="40">
        <v>162535.85902875318</v>
      </c>
      <c r="P111" s="16">
        <f t="shared" si="7"/>
        <v>-443.02562279743142</v>
      </c>
      <c r="R111" s="55">
        <v>3.1426340752880384E-3</v>
      </c>
      <c r="S111" s="3">
        <f t="shared" si="12"/>
        <v>-5.5335557380166434E-8</v>
      </c>
    </row>
    <row r="112" spans="1:19">
      <c r="A112" t="s">
        <v>172</v>
      </c>
      <c r="B112" t="s">
        <v>173</v>
      </c>
      <c r="C112" s="53">
        <f>+payroll!G112</f>
        <v>4.2814129873824805E-3</v>
      </c>
      <c r="D112" s="53">
        <f>+IFR!T112</f>
        <v>4.0132554650858581E-3</v>
      </c>
      <c r="E112" s="53">
        <f>+claims!R112</f>
        <v>1.8309246560179614E-3</v>
      </c>
      <c r="F112" s="53">
        <f>+costs!L112</f>
        <v>1.9834429716484195E-3</v>
      </c>
      <c r="H112" s="3">
        <f t="shared" si="13"/>
        <v>2.5015380379502881E-3</v>
      </c>
      <c r="J112" s="16">
        <f t="shared" si="11"/>
        <v>129028.23509806159</v>
      </c>
      <c r="L112" s="6">
        <f>+J112/payroll!F112</f>
        <v>3.2368184598746239E-3</v>
      </c>
      <c r="O112" s="40">
        <v>129380.57269902932</v>
      </c>
      <c r="P112" s="16">
        <f t="shared" si="7"/>
        <v>-352.3376009677304</v>
      </c>
      <c r="R112" s="55">
        <v>2.5015759529859963E-3</v>
      </c>
      <c r="S112" s="3">
        <f t="shared" si="12"/>
        <v>-3.7915035708269151E-8</v>
      </c>
    </row>
    <row r="113" spans="1:19">
      <c r="A113" t="s">
        <v>174</v>
      </c>
      <c r="B113" t="s">
        <v>175</v>
      </c>
      <c r="C113" s="53">
        <f>+payroll!G113</f>
        <v>4.6785212729534495E-3</v>
      </c>
      <c r="D113" s="53">
        <f>+IFR!T113</f>
        <v>4.9206757046391441E-3</v>
      </c>
      <c r="E113" s="53">
        <f>+claims!R113</f>
        <v>1.2371112540661901E-3</v>
      </c>
      <c r="F113" s="53">
        <f>+costs!L113</f>
        <v>7.0921914086043039E-4</v>
      </c>
      <c r="H113" s="3">
        <f t="shared" si="13"/>
        <v>1.8109977948252611E-3</v>
      </c>
      <c r="J113" s="16">
        <f t="shared" si="11"/>
        <v>93410.472152663919</v>
      </c>
      <c r="L113" s="6">
        <f>+J113/payroll!F113</f>
        <v>2.1444092222092804E-3</v>
      </c>
      <c r="O113" s="40">
        <v>93665.453604161899</v>
      </c>
      <c r="P113" s="16">
        <f t="shared" si="7"/>
        <v>-254.98145149798074</v>
      </c>
      <c r="R113" s="55">
        <v>1.8110234131268059E-3</v>
      </c>
      <c r="S113" s="3">
        <f t="shared" si="12"/>
        <v>-2.5618301544797634E-8</v>
      </c>
    </row>
    <row r="114" spans="1:19">
      <c r="A114" t="s">
        <v>176</v>
      </c>
      <c r="B114" t="s">
        <v>538</v>
      </c>
      <c r="C114" s="53">
        <f>+payroll!G114</f>
        <v>3.2176824860897985E-2</v>
      </c>
      <c r="D114" s="53">
        <f>+IFR!T114</f>
        <v>2.2472811758932225E-2</v>
      </c>
      <c r="E114" s="53">
        <f>+claims!R114</f>
        <v>8.2144187269995034E-3</v>
      </c>
      <c r="F114" s="53">
        <f>+costs!L114</f>
        <v>5.3662138464222083E-3</v>
      </c>
      <c r="H114" s="3">
        <f t="shared" si="13"/>
        <v>1.1283095694382026E-2</v>
      </c>
      <c r="J114" s="16">
        <f t="shared" si="11"/>
        <v>581977.12839159381</v>
      </c>
      <c r="L114" s="6">
        <f>+J114/payroll!F114</f>
        <v>1.9426002405290128E-3</v>
      </c>
      <c r="O114" s="40">
        <v>583566.28722779709</v>
      </c>
      <c r="P114" s="16">
        <f t="shared" si="7"/>
        <v>-1589.158836203278</v>
      </c>
      <c r="R114" s="55">
        <v>1.1283265799868642E-2</v>
      </c>
      <c r="S114" s="3">
        <f t="shared" si="12"/>
        <v>-1.7010548661669511E-7</v>
      </c>
    </row>
    <row r="115" spans="1:19">
      <c r="A115" t="s">
        <v>177</v>
      </c>
      <c r="B115" t="s">
        <v>178</v>
      </c>
      <c r="C115" s="53">
        <f>+payroll!G115</f>
        <v>2.8384926991669203E-2</v>
      </c>
      <c r="D115" s="53">
        <f>+IFR!T115</f>
        <v>2.6327828374674414E-2</v>
      </c>
      <c r="E115" s="53">
        <f>+claims!R115</f>
        <v>1.0045343383017463E-2</v>
      </c>
      <c r="F115" s="53">
        <f>+costs!L115</f>
        <v>5.1628872654209254E-3</v>
      </c>
      <c r="H115" s="3">
        <f t="shared" si="13"/>
        <v>1.1443628287498127E-2</v>
      </c>
      <c r="J115" s="16">
        <f t="shared" si="11"/>
        <v>590257.32915258559</v>
      </c>
      <c r="L115" s="6">
        <f>+J115/payroll!F115</f>
        <v>2.2334401258336019E-3</v>
      </c>
      <c r="O115" s="40">
        <v>591870.93386217859</v>
      </c>
      <c r="P115" s="16">
        <f t="shared" si="7"/>
        <v>-1613.6047095929971</v>
      </c>
      <c r="R115" s="55">
        <v>1.1443836308139169E-2</v>
      </c>
      <c r="S115" s="3">
        <f t="shared" si="12"/>
        <v>-2.0802064104250007E-7</v>
      </c>
    </row>
    <row r="116" spans="1:19">
      <c r="A116" t="s">
        <v>179</v>
      </c>
      <c r="B116" t="s">
        <v>180</v>
      </c>
      <c r="C116" s="53">
        <f>+payroll!G116</f>
        <v>1.4589812578806996E-2</v>
      </c>
      <c r="D116" s="53">
        <f>+IFR!T116</f>
        <v>1.2906300898597765E-2</v>
      </c>
      <c r="E116" s="53">
        <f>+claims!R116</f>
        <v>2.8206136592709135E-3</v>
      </c>
      <c r="F116" s="53">
        <f>+costs!L116</f>
        <v>3.788666330294334E-3</v>
      </c>
      <c r="H116" s="3">
        <f t="shared" si="13"/>
        <v>6.1333060317428321E-3</v>
      </c>
      <c r="J116" s="16">
        <f t="shared" si="11"/>
        <v>316353.23572393344</v>
      </c>
      <c r="L116" s="6">
        <f>+J116/payroll!F116</f>
        <v>2.328859430704999E-3</v>
      </c>
      <c r="O116" s="40">
        <v>317215.31502845208</v>
      </c>
      <c r="P116" s="16">
        <f t="shared" si="7"/>
        <v>-862.07930451864377</v>
      </c>
      <c r="R116" s="55">
        <v>6.1333644413525358E-3</v>
      </c>
      <c r="S116" s="3">
        <f t="shared" si="12"/>
        <v>-5.8409609703623244E-8</v>
      </c>
    </row>
    <row r="117" spans="1:19">
      <c r="A117" t="s">
        <v>181</v>
      </c>
      <c r="B117" s="36" t="s">
        <v>558</v>
      </c>
      <c r="C117" s="53">
        <f>+payroll!G117</f>
        <v>2.6170193683809701E-2</v>
      </c>
      <c r="D117" s="53">
        <f>+IFR!T117</f>
        <v>2.3468567289103754E-2</v>
      </c>
      <c r="E117" s="53">
        <f>+claims!R117</f>
        <v>9.402045530903045E-3</v>
      </c>
      <c r="F117" s="53">
        <f>+costs!L117</f>
        <v>9.0691669013470231E-3</v>
      </c>
      <c r="H117" s="3">
        <f t="shared" si="13"/>
        <v>1.3056652092057853E-2</v>
      </c>
      <c r="J117" s="16">
        <f t="shared" si="11"/>
        <v>673456.38969696814</v>
      </c>
      <c r="L117" s="6">
        <f>+J117/payroll!F117</f>
        <v>2.7639058717777408E-3</v>
      </c>
      <c r="O117" s="40">
        <v>675295.23276724969</v>
      </c>
      <c r="P117" s="16">
        <f t="shared" si="7"/>
        <v>-1838.8430702815531</v>
      </c>
      <c r="R117" s="55">
        <v>1.3056846790950299E-2</v>
      </c>
      <c r="S117" s="3">
        <f t="shared" si="12"/>
        <v>-1.9469889244588812E-7</v>
      </c>
    </row>
    <row r="118" spans="1:19">
      <c r="A118" t="s">
        <v>182</v>
      </c>
      <c r="B118" t="s">
        <v>183</v>
      </c>
      <c r="C118" s="53">
        <f>+payroll!G118</f>
        <v>1.0027154766751478E-2</v>
      </c>
      <c r="D118" s="53">
        <f>+IFR!T118</f>
        <v>9.2333473611925978E-3</v>
      </c>
      <c r="E118" s="53">
        <f>+claims!R118</f>
        <v>3.9092715628491603E-3</v>
      </c>
      <c r="F118" s="53">
        <f>+costs!L118</f>
        <v>4.9341677127219324E-3</v>
      </c>
      <c r="H118" s="3">
        <f t="shared" si="13"/>
        <v>5.9544541280535431E-3</v>
      </c>
      <c r="J118" s="16">
        <f t="shared" si="11"/>
        <v>307128.13295641111</v>
      </c>
      <c r="L118" s="6">
        <f>+J118/payroll!F118</f>
        <v>3.2897476773800982E-3</v>
      </c>
      <c r="O118" s="40">
        <v>307966.32743149827</v>
      </c>
      <c r="P118" s="16">
        <f t="shared" si="7"/>
        <v>-838.19447508716257</v>
      </c>
      <c r="R118" s="55">
        <v>5.9545350817405036E-3</v>
      </c>
      <c r="S118" s="3">
        <f t="shared" si="12"/>
        <v>-8.0953686960524851E-8</v>
      </c>
    </row>
    <row r="119" spans="1:19">
      <c r="A119" t="s">
        <v>184</v>
      </c>
      <c r="B119" t="s">
        <v>185</v>
      </c>
      <c r="C119" s="53">
        <f>+payroll!G119</f>
        <v>2.4180210556486166E-3</v>
      </c>
      <c r="D119" s="53">
        <f>+IFR!T119</f>
        <v>2.7320732953510004E-3</v>
      </c>
      <c r="E119" s="53">
        <f>+claims!R119</f>
        <v>1.0886579035782472E-3</v>
      </c>
      <c r="F119" s="53">
        <f>+costs!L119</f>
        <v>1.2616654219223769E-3</v>
      </c>
      <c r="H119" s="3">
        <f t="shared" si="13"/>
        <v>1.5640597325651154E-3</v>
      </c>
      <c r="J119" s="16">
        <f t="shared" si="11"/>
        <v>80673.515181156516</v>
      </c>
      <c r="L119" s="6">
        <f>+J119/payroll!F119</f>
        <v>3.5833696421266742E-3</v>
      </c>
      <c r="O119" s="40">
        <v>80893.750380839367</v>
      </c>
      <c r="P119" s="16">
        <f t="shared" si="7"/>
        <v>-220.23519968285109</v>
      </c>
      <c r="R119" s="55">
        <v>1.5640822766359403E-3</v>
      </c>
      <c r="S119" s="3">
        <f t="shared" si="12"/>
        <v>-2.2544070824980639E-8</v>
      </c>
    </row>
    <row r="120" spans="1:19">
      <c r="A120" t="s">
        <v>186</v>
      </c>
      <c r="B120" t="s">
        <v>539</v>
      </c>
      <c r="C120" s="53">
        <f>+payroll!G120</f>
        <v>4.5190791585232766E-4</v>
      </c>
      <c r="D120" s="53">
        <f>+IFR!T120</f>
        <v>1.231655177922127E-4</v>
      </c>
      <c r="E120" s="53">
        <f>+claims!R120</f>
        <v>0</v>
      </c>
      <c r="F120" s="53">
        <f>+costs!L120</f>
        <v>0</v>
      </c>
      <c r="H120" s="3">
        <f t="shared" si="13"/>
        <v>7.1884179205567545E-5</v>
      </c>
      <c r="J120" s="16">
        <f t="shared" si="11"/>
        <v>3707.7544429294339</v>
      </c>
      <c r="L120" s="6">
        <f>+J120/payroll!F120</f>
        <v>8.812146788158776E-4</v>
      </c>
      <c r="O120" s="40">
        <v>3717.8228638284804</v>
      </c>
      <c r="P120" s="16">
        <f t="shared" si="7"/>
        <v>-10.068420899046487</v>
      </c>
      <c r="R120" s="55">
        <v>7.1884179205558845E-5</v>
      </c>
      <c r="S120" s="3">
        <f t="shared" si="12"/>
        <v>8.7007224341961731E-18</v>
      </c>
    </row>
    <row r="121" spans="1:19">
      <c r="A121" t="s">
        <v>187</v>
      </c>
      <c r="B121" t="s">
        <v>188</v>
      </c>
      <c r="C121" s="53">
        <f>+payroll!G121</f>
        <v>6.4803023555154394E-3</v>
      </c>
      <c r="D121" s="53">
        <f>+IFR!T121</f>
        <v>5.5576975752371595E-3</v>
      </c>
      <c r="E121" s="53">
        <f>+claims!R121</f>
        <v>2.5237069582950277E-3</v>
      </c>
      <c r="F121" s="53">
        <f>+costs!L121</f>
        <v>2.3534170854987188E-3</v>
      </c>
      <c r="H121" s="3">
        <f t="shared" si="13"/>
        <v>3.2953562863875601E-3</v>
      </c>
      <c r="J121" s="16">
        <f t="shared" si="11"/>
        <v>169973.03227109232</v>
      </c>
      <c r="L121" s="6">
        <f>+J121/payroll!F121</f>
        <v>2.8171207351055383E-3</v>
      </c>
      <c r="O121" s="40">
        <v>170437.29760288261</v>
      </c>
      <c r="P121" s="16">
        <f t="shared" si="7"/>
        <v>-464.26533179028775</v>
      </c>
      <c r="R121" s="55">
        <v>3.2954085476736162E-3</v>
      </c>
      <c r="S121" s="3">
        <f t="shared" si="12"/>
        <v>-5.2261286056110717E-8</v>
      </c>
    </row>
    <row r="122" spans="1:19">
      <c r="A122" t="s">
        <v>189</v>
      </c>
      <c r="B122" t="s">
        <v>190</v>
      </c>
      <c r="C122" s="53">
        <f>+payroll!G122</f>
        <v>1.4533979643937054E-2</v>
      </c>
      <c r="D122" s="53">
        <f>+IFR!T122</f>
        <v>8.5301347987252682E-3</v>
      </c>
      <c r="E122" s="53">
        <f>+claims!R122</f>
        <v>1.6824713055300187E-3</v>
      </c>
      <c r="F122" s="53">
        <f>+costs!L122</f>
        <v>1.860120164686524E-3</v>
      </c>
      <c r="H122" s="3">
        <f t="shared" si="13"/>
        <v>4.251457099974207E-3</v>
      </c>
      <c r="J122" s="16">
        <f t="shared" si="11"/>
        <v>219288.29299524581</v>
      </c>
      <c r="L122" s="6">
        <f>+J122/payroll!F122</f>
        <v>1.6205095950446934E-3</v>
      </c>
      <c r="O122" s="40">
        <v>219885.57312099662</v>
      </c>
      <c r="P122" s="16">
        <f t="shared" si="7"/>
        <v>-597.28012575081084</v>
      </c>
      <c r="R122" s="55">
        <v>4.2514919408155934E-3</v>
      </c>
      <c r="S122" s="3">
        <f t="shared" si="12"/>
        <v>-3.4840841386420129E-8</v>
      </c>
    </row>
    <row r="123" spans="1:19">
      <c r="A123" t="s">
        <v>191</v>
      </c>
      <c r="B123" t="s">
        <v>540</v>
      </c>
      <c r="C123" s="53">
        <f>+payroll!G123</f>
        <v>2.7804383956757054E-3</v>
      </c>
      <c r="D123" s="53">
        <f>+IFR!T123</f>
        <v>2.4545364978569026E-3</v>
      </c>
      <c r="E123" s="53">
        <f>+claims!R123</f>
        <v>7.9175120260236158E-4</v>
      </c>
      <c r="F123" s="53">
        <f>+costs!L123</f>
        <v>4.128907535749035E-4</v>
      </c>
      <c r="H123" s="3">
        <f t="shared" si="13"/>
        <v>1.0208689942268724E-3</v>
      </c>
      <c r="J123" s="16">
        <f t="shared" si="11"/>
        <v>52655.975081376797</v>
      </c>
      <c r="L123" s="6">
        <f>+J123/payroll!F123</f>
        <v>2.0340193953659247E-3</v>
      </c>
      <c r="O123" s="40">
        <v>52799.810556668985</v>
      </c>
      <c r="P123" s="16">
        <f t="shared" si="7"/>
        <v>-143.83547529218777</v>
      </c>
      <c r="R123" s="55">
        <v>1.0208853899420886E-3</v>
      </c>
      <c r="S123" s="3">
        <f t="shared" si="12"/>
        <v>-1.6395715216272269E-8</v>
      </c>
    </row>
    <row r="124" spans="1:19">
      <c r="A124" t="s">
        <v>480</v>
      </c>
      <c r="B124" t="s">
        <v>481</v>
      </c>
      <c r="C124" s="53">
        <f>+payroll!G124</f>
        <v>3.6836636258676652E-3</v>
      </c>
      <c r="D124" s="53">
        <f>+IFR!T124</f>
        <v>2.6020124533974441E-3</v>
      </c>
      <c r="E124" s="53">
        <f>+claims!R124</f>
        <v>4.4536005146382838E-4</v>
      </c>
      <c r="F124" s="53">
        <f>+costs!L124</f>
        <v>5.2910358990930853E-4</v>
      </c>
      <c r="H124" s="3">
        <f>(C124*$C$3)+(D124*$D$3)+(E124*$E$3)+(F124*$F$3)</f>
        <v>1.169975671573298E-3</v>
      </c>
      <c r="J124" s="16">
        <f t="shared" si="11"/>
        <v>60346.83211711848</v>
      </c>
      <c r="L124" s="6">
        <f>+J124/payroll!F124</f>
        <v>1.7595240962228439E-3</v>
      </c>
      <c r="O124" s="40">
        <v>60511.181150930948</v>
      </c>
      <c r="P124" s="16">
        <f t="shared" si="7"/>
        <v>-164.34903381246841</v>
      </c>
      <c r="R124" s="55">
        <v>1.1699848941469713E-3</v>
      </c>
      <c r="S124" s="3">
        <f>+H124-R124</f>
        <v>-9.2225736732839264E-9</v>
      </c>
    </row>
    <row r="125" spans="1:19">
      <c r="A125" t="s">
        <v>192</v>
      </c>
      <c r="B125" t="s">
        <v>500</v>
      </c>
      <c r="C125" s="53">
        <f>+payroll!G125</f>
        <v>1.9967230007386298E-3</v>
      </c>
      <c r="D125" s="53">
        <f>+IFR!T125</f>
        <v>1.9759965809800356E-3</v>
      </c>
      <c r="E125" s="53">
        <f>+claims!R125</f>
        <v>1.7319557556926659E-3</v>
      </c>
      <c r="F125" s="53">
        <f>+costs!L125</f>
        <v>1.387545092916307E-3</v>
      </c>
      <c r="H125" s="3">
        <f t="shared" si="13"/>
        <v>1.5889103668185172E-3</v>
      </c>
      <c r="J125" s="16">
        <f t="shared" si="11"/>
        <v>81955.299999192372</v>
      </c>
      <c r="L125" s="6">
        <f>+J125/payroll!F125</f>
        <v>4.4083892146983047E-3</v>
      </c>
      <c r="O125" s="40">
        <v>82179.70487483895</v>
      </c>
      <c r="P125" s="16">
        <f t="shared" si="7"/>
        <v>-224.40487564657815</v>
      </c>
      <c r="R125" s="55">
        <v>1.5889462324193712E-3</v>
      </c>
      <c r="S125" s="3">
        <f t="shared" si="12"/>
        <v>-3.586560085402403E-8</v>
      </c>
    </row>
    <row r="126" spans="1:19">
      <c r="A126" t="s">
        <v>193</v>
      </c>
      <c r="B126" t="s">
        <v>194</v>
      </c>
      <c r="C126" s="53">
        <f>+payroll!G126</f>
        <v>2.2970743040487676E-3</v>
      </c>
      <c r="D126" s="53">
        <f>+IFR!T126</f>
        <v>2.312718244192337E-3</v>
      </c>
      <c r="E126" s="53">
        <f>+claims!R126</f>
        <v>3.2295114842991069E-3</v>
      </c>
      <c r="F126" s="53">
        <f>+costs!L126</f>
        <v>1.5895448517022697E-3</v>
      </c>
      <c r="H126" s="3">
        <f t="shared" si="13"/>
        <v>2.0143777021963661E-3</v>
      </c>
      <c r="J126" s="16">
        <f t="shared" si="11"/>
        <v>103900.71859480992</v>
      </c>
      <c r="L126" s="6">
        <f>+J126/payroll!F126</f>
        <v>4.8580749982860116E-3</v>
      </c>
      <c r="O126" s="40">
        <v>104186.32024745566</v>
      </c>
      <c r="P126" s="16">
        <f t="shared" si="7"/>
        <v>-285.6016526457388</v>
      </c>
      <c r="R126" s="55">
        <v>2.0144445794611056E-3</v>
      </c>
      <c r="S126" s="3">
        <f t="shared" si="12"/>
        <v>-6.6877264739539227E-8</v>
      </c>
    </row>
    <row r="127" spans="1:19">
      <c r="A127" t="s">
        <v>551</v>
      </c>
      <c r="B127" t="s">
        <v>552</v>
      </c>
      <c r="C127" s="53">
        <f>+payroll!G127</f>
        <v>1.301895798425491E-3</v>
      </c>
      <c r="D127" s="53">
        <f>+IFR!T127</f>
        <v>1.1938192966265467E-3</v>
      </c>
      <c r="E127" s="53">
        <f>+claims!R127</f>
        <v>2.4742225081323798E-4</v>
      </c>
      <c r="F127" s="53">
        <f>+costs!L127</f>
        <v>1.6240302108196545E-4</v>
      </c>
      <c r="H127" s="3">
        <f>(C127*$C$3)+(D127*$D$3)+(E127*$E$3)+(F127*$F$3)</f>
        <v>4.4651953715266966E-4</v>
      </c>
      <c r="J127" s="16">
        <f t="shared" si="11"/>
        <v>23031.281931982852</v>
      </c>
      <c r="L127" s="6">
        <f>+J127/payroll!F127</f>
        <v>1.900039343281E-3</v>
      </c>
      <c r="O127" s="40">
        <v>23094.088456966099</v>
      </c>
      <c r="P127" s="16">
        <f>+J127-O127</f>
        <v>-62.806524983247073</v>
      </c>
      <c r="R127" s="55">
        <v>4.4652466081185696E-4</v>
      </c>
      <c r="S127" s="3">
        <f>+H127-R127</f>
        <v>-5.1236591872981692E-9</v>
      </c>
    </row>
    <row r="128" spans="1:19" s="50" customFormat="1">
      <c r="A128" s="52" t="s">
        <v>571</v>
      </c>
      <c r="B128" s="52" t="s">
        <v>563</v>
      </c>
      <c r="C128" s="53">
        <f>+payroll!G128</f>
        <v>1.214009406970718E-2</v>
      </c>
      <c r="D128" s="53">
        <f>+IFR!T128</f>
        <v>8.4373794285164203E-3</v>
      </c>
      <c r="E128" s="53">
        <f>+claims!R128</f>
        <v>6.1855562703309495E-3</v>
      </c>
      <c r="F128" s="53">
        <f>+costs!L128</f>
        <v>2.2205312727082895E-3</v>
      </c>
      <c r="H128" s="53">
        <f>(C128*$C$3)+(D128*$D$3)+(E128*$E$3)+(F128*$F$3)</f>
        <v>4.8323363914525661E-3</v>
      </c>
      <c r="J128" s="16">
        <f t="shared" si="11"/>
        <v>249249.79213993906</v>
      </c>
      <c r="L128" s="54">
        <f>+J128/payroll!F128</f>
        <v>2.205126256198143E-3</v>
      </c>
      <c r="O128" s="40">
        <v>249933.25572071792</v>
      </c>
      <c r="P128" s="16">
        <f>+J128-O128</f>
        <v>-683.46358077885816</v>
      </c>
      <c r="R128" s="55">
        <v>4.8324644830323778E-3</v>
      </c>
      <c r="S128" s="53">
        <f>+H128-R128</f>
        <v>-1.2809157981172326E-7</v>
      </c>
    </row>
    <row r="129" spans="1:19">
      <c r="A129" t="s">
        <v>195</v>
      </c>
      <c r="B129" t="s">
        <v>196</v>
      </c>
      <c r="C129" s="53">
        <f>+payroll!G129</f>
        <v>1.6549235531202417E-3</v>
      </c>
      <c r="D129" s="53">
        <f>+IFR!T129</f>
        <v>1.2224835127716213E-3</v>
      </c>
      <c r="E129" s="53">
        <f>+claims!R129</f>
        <v>1.4845335048794281E-4</v>
      </c>
      <c r="F129" s="53">
        <f>+costs!L129</f>
        <v>4.8801900041921867E-5</v>
      </c>
      <c r="H129" s="3">
        <f t="shared" si="13"/>
        <v>4.1122502583482742E-4</v>
      </c>
      <c r="J129" s="16">
        <f t="shared" si="11"/>
        <v>21210.806514498818</v>
      </c>
      <c r="L129" s="6">
        <f>+J129/payroll!F129</f>
        <v>1.3765752372897663E-3</v>
      </c>
      <c r="O129" s="40">
        <v>21268.563534395282</v>
      </c>
      <c r="P129" s="16">
        <f t="shared" ref="P129:P139" si="14">+J129-O129</f>
        <v>-57.757019896464044</v>
      </c>
      <c r="R129" s="55">
        <v>4.1122810003296008E-4</v>
      </c>
      <c r="S129" s="3">
        <f t="shared" si="12"/>
        <v>-3.0741981326570279E-9</v>
      </c>
    </row>
    <row r="130" spans="1:19">
      <c r="A130" t="s">
        <v>197</v>
      </c>
      <c r="B130" t="s">
        <v>541</v>
      </c>
      <c r="C130" s="53">
        <f>+payroll!G130</f>
        <v>7.8027853654842215E-4</v>
      </c>
      <c r="D130" s="53">
        <f>+IFR!T130</f>
        <v>3.1718491142182612E-4</v>
      </c>
      <c r="E130" s="53">
        <f>+claims!R130</f>
        <v>4.9484450162647599E-5</v>
      </c>
      <c r="F130" s="53">
        <f>+costs!L130</f>
        <v>1.0957239974156898E-5</v>
      </c>
      <c r="H130" s="3">
        <f t="shared" si="13"/>
        <v>1.5117994250517233E-4</v>
      </c>
      <c r="J130" s="16">
        <f t="shared" ref="J130:J161" si="15">(+H130*$J$272)</f>
        <v>7797.7951435237992</v>
      </c>
      <c r="L130" s="6">
        <f>+J130/payroll!F130</f>
        <v>1.0733537264231653E-3</v>
      </c>
      <c r="O130" s="40">
        <v>7819.0230838762345</v>
      </c>
      <c r="P130" s="16">
        <f t="shared" si="14"/>
        <v>-21.227940352435326</v>
      </c>
      <c r="R130" s="55">
        <v>1.511809672381667E-4</v>
      </c>
      <c r="S130" s="3">
        <f t="shared" si="12"/>
        <v>-1.024732994368404E-9</v>
      </c>
    </row>
    <row r="131" spans="1:19">
      <c r="A131" t="s">
        <v>198</v>
      </c>
      <c r="B131" t="s">
        <v>199</v>
      </c>
      <c r="C131" s="53">
        <f>+payroll!G131</f>
        <v>7.381557033711298E-3</v>
      </c>
      <c r="D131" s="53">
        <f>+IFR!T131</f>
        <v>5.7306994904134448E-3</v>
      </c>
      <c r="E131" s="53">
        <f>+claims!R131</f>
        <v>1.2371112540661901E-3</v>
      </c>
      <c r="F131" s="53">
        <f>+costs!L131</f>
        <v>2.3919668598991218E-4</v>
      </c>
      <c r="H131" s="3">
        <f t="shared" si="13"/>
        <v>1.9681167652194687E-3</v>
      </c>
      <c r="J131" s="16">
        <f t="shared" si="15"/>
        <v>101514.59975049981</v>
      </c>
      <c r="L131" s="6">
        <f>+J131/payroll!F131</f>
        <v>1.4770705339087673E-3</v>
      </c>
      <c r="O131" s="40">
        <v>101791.58799177071</v>
      </c>
      <c r="P131" s="16">
        <f t="shared" si="14"/>
        <v>-276.98824127089756</v>
      </c>
      <c r="R131" s="55">
        <v>1.9681423835464455E-3</v>
      </c>
      <c r="S131" s="3">
        <f t="shared" si="12"/>
        <v>-2.5618326976711153E-8</v>
      </c>
    </row>
    <row r="132" spans="1:19">
      <c r="A132" t="s">
        <v>200</v>
      </c>
      <c r="B132" t="s">
        <v>542</v>
      </c>
      <c r="C132" s="53">
        <f>+payroll!G132</f>
        <v>8.5496073880723608E-4</v>
      </c>
      <c r="D132" s="53">
        <f>+IFR!T132</f>
        <v>8.5517489879233276E-4</v>
      </c>
      <c r="E132" s="53">
        <f>+claims!R132</f>
        <v>3.4639115113853326E-4</v>
      </c>
      <c r="F132" s="53">
        <f>+costs!L132</f>
        <v>0</v>
      </c>
      <c r="H132" s="3">
        <f t="shared" si="13"/>
        <v>2.6572562737072608E-4</v>
      </c>
      <c r="J132" s="16">
        <f t="shared" si="15"/>
        <v>13706.011341751706</v>
      </c>
      <c r="L132" s="6">
        <f>+J132/payroll!F132</f>
        <v>1.7218115736274344E-3</v>
      </c>
      <c r="O132" s="40">
        <v>13743.60105809953</v>
      </c>
      <c r="P132" s="16">
        <f t="shared" si="14"/>
        <v>-37.589716347823924</v>
      </c>
      <c r="R132" s="55">
        <v>2.6573280050593424E-4</v>
      </c>
      <c r="S132" s="3">
        <f t="shared" si="12"/>
        <v>-7.1731352081576792E-9</v>
      </c>
    </row>
    <row r="133" spans="1:19">
      <c r="A133" t="s">
        <v>201</v>
      </c>
      <c r="B133" t="s">
        <v>543</v>
      </c>
      <c r="C133" s="53">
        <f>+payroll!G133</f>
        <v>1.0696280094629851E-3</v>
      </c>
      <c r="D133" s="53">
        <f>+IFR!T133</f>
        <v>1.0763114807103089E-3</v>
      </c>
      <c r="E133" s="53">
        <f>+claims!R133</f>
        <v>3.9587560130118079E-4</v>
      </c>
      <c r="F133" s="53">
        <f>+costs!L133</f>
        <v>1.4101013416702589E-3</v>
      </c>
      <c r="H133" s="3">
        <f t="shared" si="13"/>
        <v>1.1736845814689942E-3</v>
      </c>
      <c r="J133" s="16">
        <f t="shared" si="15"/>
        <v>60538.13606321859</v>
      </c>
      <c r="L133" s="6">
        <f>+J133/payroll!F133</f>
        <v>6.078787836053358E-3</v>
      </c>
      <c r="O133" s="40">
        <v>60702.951582297472</v>
      </c>
      <c r="P133" s="16">
        <f t="shared" si="14"/>
        <v>-164.81551907888206</v>
      </c>
      <c r="R133" s="55">
        <v>1.173692779261348E-3</v>
      </c>
      <c r="S133" s="3">
        <f t="shared" si="12"/>
        <v>-8.1977923538020803E-9</v>
      </c>
    </row>
    <row r="134" spans="1:19">
      <c r="A134" t="s">
        <v>202</v>
      </c>
      <c r="B134" t="s">
        <v>501</v>
      </c>
      <c r="C134" s="53">
        <f>+payroll!G134</f>
        <v>1.2108752834179832E-3</v>
      </c>
      <c r="D134" s="53">
        <f>+IFR!T134</f>
        <v>1.1176171244845141E-3</v>
      </c>
      <c r="E134" s="53">
        <f>+claims!R134</f>
        <v>4.4536005146382838E-4</v>
      </c>
      <c r="F134" s="53">
        <f>+costs!L134</f>
        <v>4.2408429676318935E-4</v>
      </c>
      <c r="H134" s="3">
        <f t="shared" si="13"/>
        <v>6.1231613676529994E-4</v>
      </c>
      <c r="J134" s="16">
        <f t="shared" si="15"/>
        <v>31582.997839851359</v>
      </c>
      <c r="L134" s="6">
        <f>+J134/payroll!F134</f>
        <v>2.8013969001233628E-3</v>
      </c>
      <c r="O134" s="40">
        <v>31669.238575624269</v>
      </c>
      <c r="P134" s="16">
        <f t="shared" si="14"/>
        <v>-86.240735772909829</v>
      </c>
      <c r="R134" s="55">
        <v>6.1232535934471505E-4</v>
      </c>
      <c r="S134" s="3">
        <f t="shared" si="12"/>
        <v>-9.2225794151102117E-9</v>
      </c>
    </row>
    <row r="135" spans="1:19">
      <c r="A135" t="s">
        <v>203</v>
      </c>
      <c r="B135" t="s">
        <v>544</v>
      </c>
      <c r="C135" s="53">
        <f>+payroll!G135</f>
        <v>1.6484343536261239E-2</v>
      </c>
      <c r="D135" s="53">
        <f>+IFR!T135</f>
        <v>1.5915049075922696E-2</v>
      </c>
      <c r="E135" s="53">
        <f>+claims!R135</f>
        <v>2.1773158071564946E-2</v>
      </c>
      <c r="F135" s="53">
        <f>+costs!L135</f>
        <v>2.6108656239095619E-2</v>
      </c>
      <c r="H135" s="3">
        <f t="shared" si="13"/>
        <v>2.2981091530715102E-2</v>
      </c>
      <c r="J135" s="16">
        <f t="shared" si="15"/>
        <v>1185354.6241754596</v>
      </c>
      <c r="L135" s="6">
        <f>+J135/payroll!F135</f>
        <v>7.7232012023756656E-3</v>
      </c>
      <c r="O135" s="40">
        <v>1188596.7784561617</v>
      </c>
      <c r="P135" s="16">
        <f t="shared" si="14"/>
        <v>-3242.1542807021178</v>
      </c>
      <c r="R135" s="55">
        <v>2.2981542412084759E-2</v>
      </c>
      <c r="S135" s="3">
        <f t="shared" si="12"/>
        <v>-4.5088136965687475E-7</v>
      </c>
    </row>
    <row r="136" spans="1:19">
      <c r="A136" t="s">
        <v>204</v>
      </c>
      <c r="B136" t="s">
        <v>205</v>
      </c>
      <c r="C136" s="53">
        <f>+payroll!G136</f>
        <v>1.0533066316498036E-3</v>
      </c>
      <c r="D136" s="53">
        <f>+IFR!T136</f>
        <v>1.037127475139594E-3</v>
      </c>
      <c r="E136" s="53">
        <f>+claims!R136</f>
        <v>3.9587560130118079E-4</v>
      </c>
      <c r="F136" s="53">
        <f>+costs!L136</f>
        <v>9.7623011580334632E-4</v>
      </c>
      <c r="H136" s="3">
        <f t="shared" si="13"/>
        <v>9.064236730258596E-4</v>
      </c>
      <c r="J136" s="16">
        <f t="shared" si="15"/>
        <v>46752.935596957454</v>
      </c>
      <c r="L136" s="6">
        <f>+J136/payroll!F136</f>
        <v>4.7673251581339558E-3</v>
      </c>
      <c r="O136" s="40">
        <v>46880.317354414969</v>
      </c>
      <c r="P136" s="16">
        <f t="shared" si="14"/>
        <v>-127.38175745751505</v>
      </c>
      <c r="R136" s="55">
        <v>9.0643187084173756E-4</v>
      </c>
      <c r="S136" s="3">
        <f t="shared" si="12"/>
        <v>-8.1978158779534571E-9</v>
      </c>
    </row>
    <row r="137" spans="1:19">
      <c r="A137" t="s">
        <v>206</v>
      </c>
      <c r="B137" t="s">
        <v>207</v>
      </c>
      <c r="C137" s="53">
        <f>+payroll!G137</f>
        <v>1.1246099160733881E-3</v>
      </c>
      <c r="D137" s="53">
        <f>+IFR!T137</f>
        <v>9.9076084023414597E-4</v>
      </c>
      <c r="E137" s="53">
        <f>+claims!R137</f>
        <v>6.9278230227706652E-4</v>
      </c>
      <c r="F137" s="53">
        <f>+costs!L137</f>
        <v>9.5403433111102389E-4</v>
      </c>
      <c r="H137" s="3">
        <f t="shared" si="13"/>
        <v>9.4075928854661607E-4</v>
      </c>
      <c r="J137" s="16">
        <f t="shared" si="15"/>
        <v>48523.951589694021</v>
      </c>
      <c r="L137" s="6">
        <f>+J137/payroll!F137</f>
        <v>4.6342019945764482E-3</v>
      </c>
      <c r="O137" s="40">
        <v>48656.460540722801</v>
      </c>
      <c r="P137" s="16">
        <f t="shared" si="14"/>
        <v>-132.50895102877985</v>
      </c>
      <c r="R137" s="55">
        <v>9.4077363476531713E-4</v>
      </c>
      <c r="S137" s="3">
        <f t="shared" si="12"/>
        <v>-1.4346218701064353E-8</v>
      </c>
    </row>
    <row r="138" spans="1:19">
      <c r="A138" t="s">
        <v>208</v>
      </c>
      <c r="B138" t="s">
        <v>209</v>
      </c>
      <c r="C138" s="53">
        <f>+payroll!G138</f>
        <v>8.7935842952224384E-5</v>
      </c>
      <c r="D138" s="53">
        <f>+IFR!T138</f>
        <v>7.3218618418374428E-5</v>
      </c>
      <c r="E138" s="53">
        <f>+claims!R138</f>
        <v>0</v>
      </c>
      <c r="F138" s="53">
        <f>+costs!L138</f>
        <v>0</v>
      </c>
      <c r="H138" s="3">
        <f t="shared" si="13"/>
        <v>2.0144307671324851E-5</v>
      </c>
      <c r="J138" s="16">
        <f t="shared" si="15"/>
        <v>1039.034556609465</v>
      </c>
      <c r="L138" s="6">
        <f>+J138/payroll!F138</f>
        <v>1.2690676342056865E-3</v>
      </c>
      <c r="O138" s="40">
        <v>1041.8560587897646</v>
      </c>
      <c r="P138" s="16">
        <f t="shared" si="14"/>
        <v>-2.8215021802996034</v>
      </c>
      <c r="R138" s="55">
        <v>2.0144307671323157E-5</v>
      </c>
      <c r="S138" s="3">
        <f t="shared" si="12"/>
        <v>1.6940658945086007E-18</v>
      </c>
    </row>
    <row r="139" spans="1:19">
      <c r="A139" t="s">
        <v>210</v>
      </c>
      <c r="B139" t="s">
        <v>461</v>
      </c>
      <c r="C139" s="53">
        <f>+payroll!G139</f>
        <v>9.8837532127264265E-5</v>
      </c>
      <c r="D139" s="53">
        <f>+IFR!T139</f>
        <v>6.8688036838004154E-5</v>
      </c>
      <c r="E139" s="53">
        <f>+claims!R139</f>
        <v>0</v>
      </c>
      <c r="F139" s="53">
        <f>+costs!L139</f>
        <v>0</v>
      </c>
      <c r="H139" s="3">
        <f t="shared" si="13"/>
        <v>2.0940696120658552E-5</v>
      </c>
      <c r="J139" s="16">
        <f t="shared" si="15"/>
        <v>1080.1119236177262</v>
      </c>
      <c r="L139" s="6">
        <f>+J139/payroll!F139</f>
        <v>1.1737282969620354E-3</v>
      </c>
      <c r="O139" s="40">
        <v>1083.0449715400127</v>
      </c>
      <c r="P139" s="16">
        <f t="shared" si="14"/>
        <v>-2.9330479222865051</v>
      </c>
      <c r="R139" s="55">
        <v>2.0940696120656648E-5</v>
      </c>
      <c r="S139" s="3">
        <f t="shared" si="12"/>
        <v>1.9041300654276672E-18</v>
      </c>
    </row>
    <row r="140" spans="1:19" outlineLevel="1">
      <c r="A140" t="s">
        <v>211</v>
      </c>
      <c r="B140" t="s">
        <v>212</v>
      </c>
      <c r="C140" s="53">
        <f>+payroll!G140</f>
        <v>9.5667444779392927E-5</v>
      </c>
      <c r="D140" s="53">
        <f>+IFR!T140</f>
        <v>9.7241750993313448E-5</v>
      </c>
      <c r="E140" s="53">
        <f>+claims!R140</f>
        <v>0</v>
      </c>
      <c r="F140" s="53">
        <f>+costs!L140</f>
        <v>0</v>
      </c>
      <c r="H140" s="3">
        <f t="shared" si="13"/>
        <v>2.4113649471588297E-5</v>
      </c>
      <c r="J140" s="16">
        <f t="shared" si="15"/>
        <v>1243.7714661503676</v>
      </c>
      <c r="L140" s="6">
        <f>+J140/payroll!F140</f>
        <v>1.3963591089782886E-3</v>
      </c>
      <c r="O140" s="40">
        <v>1247.148932165549</v>
      </c>
      <c r="P140" s="16">
        <f t="shared" ref="P140:P165" si="16">+J140-O140</f>
        <v>-3.377466015181426</v>
      </c>
      <c r="R140" s="55">
        <v>2.4113649471586454E-5</v>
      </c>
      <c r="S140" s="3">
        <f t="shared" si="12"/>
        <v>1.8431436932253575E-18</v>
      </c>
    </row>
    <row r="141" spans="1:19" outlineLevel="1">
      <c r="A141" t="s">
        <v>213</v>
      </c>
      <c r="B141" t="s">
        <v>214</v>
      </c>
      <c r="C141" s="53">
        <f>+payroll!G141</f>
        <v>2.4510027023514032E-5</v>
      </c>
      <c r="D141" s="53">
        <f>+IFR!T141</f>
        <v>3.5802644683901776E-5</v>
      </c>
      <c r="E141" s="53">
        <f>+claims!R141</f>
        <v>0</v>
      </c>
      <c r="F141" s="53">
        <f>+costs!L141</f>
        <v>0</v>
      </c>
      <c r="H141" s="3">
        <f t="shared" si="13"/>
        <v>7.5390839634269757E-6</v>
      </c>
      <c r="J141" s="16">
        <f t="shared" si="15"/>
        <v>388.86264502063625</v>
      </c>
      <c r="L141" s="6">
        <f>+J141/payroll!F141</f>
        <v>1.7040139402813618E-3</v>
      </c>
      <c r="O141" s="40">
        <v>389.91860297101647</v>
      </c>
      <c r="P141" s="16">
        <f t="shared" si="16"/>
        <v>-1.0559579503802183</v>
      </c>
      <c r="R141" s="55">
        <v>7.5390839634265039E-6</v>
      </c>
      <c r="S141" s="3">
        <f t="shared" si="12"/>
        <v>4.7179735162064529E-19</v>
      </c>
    </row>
    <row r="142" spans="1:19" outlineLevel="1">
      <c r="A142" t="s">
        <v>215</v>
      </c>
      <c r="B142" t="s">
        <v>216</v>
      </c>
      <c r="C142" s="53">
        <f>+payroll!G142</f>
        <v>1.4247310505662952E-4</v>
      </c>
      <c r="D142" s="53">
        <f>+IFR!T142</f>
        <v>1.803392472966904E-4</v>
      </c>
      <c r="E142" s="53">
        <f>+claims!R142</f>
        <v>0</v>
      </c>
      <c r="F142" s="53">
        <f>+costs!L142</f>
        <v>0</v>
      </c>
      <c r="H142" s="3">
        <f t="shared" si="13"/>
        <v>4.0351544044164991E-5</v>
      </c>
      <c r="J142" s="16">
        <f t="shared" si="15"/>
        <v>2081.3149480494822</v>
      </c>
      <c r="L142" s="6">
        <f>+J142/payroll!F142</f>
        <v>1.569009674575431E-3</v>
      </c>
      <c r="O142" s="40">
        <v>2086.9667664865988</v>
      </c>
      <c r="P142" s="16">
        <f t="shared" si="16"/>
        <v>-5.6518184371166171</v>
      </c>
      <c r="R142" s="55">
        <v>4.0351544044162247E-5</v>
      </c>
      <c r="S142" s="3">
        <f t="shared" si="12"/>
        <v>2.7443867491039331E-18</v>
      </c>
    </row>
    <row r="143" spans="1:19" outlineLevel="1">
      <c r="A143" t="s">
        <v>504</v>
      </c>
      <c r="B143" t="s">
        <v>502</v>
      </c>
      <c r="C143" s="53">
        <f>+payroll!G143</f>
        <v>1.1840132837607375E-4</v>
      </c>
      <c r="D143" s="53">
        <f>+IFR!T143</f>
        <v>1.4144254689936505E-4</v>
      </c>
      <c r="E143" s="53">
        <f>+claims!R143</f>
        <v>0</v>
      </c>
      <c r="F143" s="53">
        <f>+costs!L143</f>
        <v>0</v>
      </c>
      <c r="H143" s="3">
        <f>(C143*$C$3)+(D143*$D$3)+(E143*$E$3)+(F143*$F$3)</f>
        <v>3.2480484409429846E-5</v>
      </c>
      <c r="J143" s="16">
        <f t="shared" si="15"/>
        <v>1675.3291434707828</v>
      </c>
      <c r="L143" s="6">
        <f>+J143/payroll!F143</f>
        <v>1.5197224393432105E-3</v>
      </c>
      <c r="O143" s="40">
        <v>1679.8785059544248</v>
      </c>
      <c r="P143" s="16">
        <f>+J143-O143</f>
        <v>-4.5493624836419713</v>
      </c>
      <c r="R143" s="55">
        <v>3.2480484409427569E-5</v>
      </c>
      <c r="S143" s="3">
        <f>+H143-R143</f>
        <v>2.2768245622195593E-18</v>
      </c>
    </row>
    <row r="144" spans="1:19" outlineLevel="1">
      <c r="A144" t="s">
        <v>217</v>
      </c>
      <c r="B144" t="s">
        <v>218</v>
      </c>
      <c r="C144" s="53">
        <f>+payroll!G144</f>
        <v>7.4365223040378847E-5</v>
      </c>
      <c r="D144" s="53">
        <f>+IFR!T144</f>
        <v>1.4188455485842553E-4</v>
      </c>
      <c r="E144" s="53">
        <f>+claims!R144</f>
        <v>1.4845335048794281E-4</v>
      </c>
      <c r="F144" s="53">
        <f>+costs!L144</f>
        <v>7.0353656815660653E-5</v>
      </c>
      <c r="H144" s="3">
        <f t="shared" si="13"/>
        <v>9.1511418899938363E-5</v>
      </c>
      <c r="J144" s="16">
        <f t="shared" si="15"/>
        <v>4720.118860016747</v>
      </c>
      <c r="L144" s="6">
        <f>+J144/payroll!F144</f>
        <v>6.8171642475842913E-3</v>
      </c>
      <c r="O144" s="40">
        <v>4733.0953565529562</v>
      </c>
      <c r="P144" s="16">
        <f t="shared" si="16"/>
        <v>-12.976496536209197</v>
      </c>
      <c r="R144" s="55">
        <v>9.1514493096933001E-5</v>
      </c>
      <c r="S144" s="3">
        <f t="shared" si="12"/>
        <v>-3.0741969946377701E-9</v>
      </c>
    </row>
    <row r="145" spans="1:19" outlineLevel="1">
      <c r="A145" t="s">
        <v>219</v>
      </c>
      <c r="B145" t="s">
        <v>220</v>
      </c>
      <c r="C145" s="53">
        <f>+payroll!G145</f>
        <v>1.9058847235446367E-4</v>
      </c>
      <c r="D145" s="53">
        <f>+IFR!T145</f>
        <v>1.5912286526178566E-5</v>
      </c>
      <c r="E145" s="53">
        <f>+claims!R145</f>
        <v>0</v>
      </c>
      <c r="F145" s="53">
        <f>+costs!L145</f>
        <v>0</v>
      </c>
      <c r="H145" s="3">
        <f t="shared" si="13"/>
        <v>2.5812594860080281E-5</v>
      </c>
      <c r="J145" s="16">
        <f t="shared" si="15"/>
        <v>1331.4023243182207</v>
      </c>
      <c r="L145" s="6">
        <f>+J145/payroll!F145</f>
        <v>7.502973098412949E-4</v>
      </c>
      <c r="O145" s="40">
        <v>1335.0177522526847</v>
      </c>
      <c r="P145" s="16">
        <f t="shared" si="16"/>
        <v>-3.6154279344639235</v>
      </c>
      <c r="R145" s="55">
        <v>2.5812594860076612E-5</v>
      </c>
      <c r="S145" s="3">
        <f t="shared" si="12"/>
        <v>3.6693467275056291E-18</v>
      </c>
    </row>
    <row r="146" spans="1:19" outlineLevel="1">
      <c r="A146" t="s">
        <v>221</v>
      </c>
      <c r="B146" t="s">
        <v>222</v>
      </c>
      <c r="C146" s="53">
        <f>+payroll!G146</f>
        <v>1.2191115084585686E-3</v>
      </c>
      <c r="D146" s="53">
        <f>+IFR!T146</f>
        <v>4.4377599089675781E-4</v>
      </c>
      <c r="E146" s="53">
        <f>+claims!R146</f>
        <v>9.8968900325295198E-5</v>
      </c>
      <c r="F146" s="53">
        <f>+costs!L146</f>
        <v>2.3492515523202478E-4</v>
      </c>
      <c r="H146" s="3">
        <f t="shared" si="13"/>
        <v>3.6366136560742491E-4</v>
      </c>
      <c r="J146" s="16">
        <f t="shared" si="15"/>
        <v>18757.493776158772</v>
      </c>
      <c r="L146" s="6">
        <f>+J146/payroll!F146</f>
        <v>1.6525404073674383E-3</v>
      </c>
      <c r="O146" s="40">
        <v>18808.535816882748</v>
      </c>
      <c r="P146" s="16">
        <f t="shared" si="16"/>
        <v>-51.042040723976243</v>
      </c>
      <c r="R146" s="55">
        <v>3.6366341506187123E-4</v>
      </c>
      <c r="S146" s="3">
        <f t="shared" si="12"/>
        <v>-2.0494544463204797E-9</v>
      </c>
    </row>
    <row r="147" spans="1:19" outlineLevel="1">
      <c r="A147" t="s">
        <v>223</v>
      </c>
      <c r="B147" t="s">
        <v>224</v>
      </c>
      <c r="C147" s="53">
        <f>+payroll!G147</f>
        <v>1.1704224056849739E-3</v>
      </c>
      <c r="D147" s="53">
        <f>+IFR!T147</f>
        <v>2.5963547515214691E-3</v>
      </c>
      <c r="E147" s="53">
        <f>+claims!R147</f>
        <v>1.6824713055300187E-3</v>
      </c>
      <c r="F147" s="53">
        <f>+costs!L147</f>
        <v>3.3217835905958643E-3</v>
      </c>
      <c r="H147" s="3">
        <f t="shared" si="13"/>
        <v>2.7162879948378267E-3</v>
      </c>
      <c r="J147" s="16">
        <f t="shared" si="15"/>
        <v>140104.94370861223</v>
      </c>
      <c r="L147" s="6">
        <f>+J147/payroll!F147</f>
        <v>1.2856760106204401E-2</v>
      </c>
      <c r="O147" s="40">
        <v>140487.20115250294</v>
      </c>
      <c r="P147" s="16">
        <f t="shared" si="16"/>
        <v>-382.25744389070314</v>
      </c>
      <c r="R147" s="55">
        <v>2.7163228356002211E-3</v>
      </c>
      <c r="S147" s="3">
        <f t="shared" si="12"/>
        <v>-3.4840762394485608E-8</v>
      </c>
    </row>
    <row r="148" spans="1:19" outlineLevel="1">
      <c r="A148" t="s">
        <v>225</v>
      </c>
      <c r="B148" t="s">
        <v>226</v>
      </c>
      <c r="C148" s="53">
        <f>+payroll!G148</f>
        <v>3.2672239097147481E-4</v>
      </c>
      <c r="D148" s="53">
        <f>+IFR!T148</f>
        <v>4.4244996701957626E-4</v>
      </c>
      <c r="E148" s="53">
        <f>+claims!R148</f>
        <v>9.8968900325295198E-5</v>
      </c>
      <c r="F148" s="53">
        <f>+costs!L148</f>
        <v>0</v>
      </c>
      <c r="H148" s="3">
        <f t="shared" si="13"/>
        <v>1.1099187979767567E-4</v>
      </c>
      <c r="J148" s="16">
        <f t="shared" si="15"/>
        <v>5724.912491134738</v>
      </c>
      <c r="L148" s="6">
        <f>+J148/payroll!F148</f>
        <v>1.8819611831046705E-3</v>
      </c>
      <c r="O148" s="40">
        <v>5740.5645098498626</v>
      </c>
      <c r="P148" s="16">
        <f t="shared" si="16"/>
        <v>-15.652018715124541</v>
      </c>
      <c r="R148" s="55">
        <v>1.1099392926487641E-4</v>
      </c>
      <c r="S148" s="3">
        <f t="shared" si="12"/>
        <v>-2.0494672007393116E-9</v>
      </c>
    </row>
    <row r="149" spans="1:19" outlineLevel="1">
      <c r="A149" t="s">
        <v>227</v>
      </c>
      <c r="B149" t="s">
        <v>228</v>
      </c>
      <c r="C149" s="53">
        <f>+payroll!G149</f>
        <v>2.8216157192946604E-4</v>
      </c>
      <c r="D149" s="53">
        <f>+IFR!T149</f>
        <v>4.0045921090882722E-4</v>
      </c>
      <c r="E149" s="53">
        <f>+claims!R149</f>
        <v>9.8968900325295198E-5</v>
      </c>
      <c r="F149" s="53">
        <f>+costs!L149</f>
        <v>2.5181609090505875E-5</v>
      </c>
      <c r="H149" s="3">
        <f t="shared" si="13"/>
        <v>1.1528189835788446E-4</v>
      </c>
      <c r="J149" s="16">
        <f t="shared" si="15"/>
        <v>5946.189767340069</v>
      </c>
      <c r="L149" s="6">
        <f>+J149/payroll!F149</f>
        <v>2.2634015377642029E-3</v>
      </c>
      <c r="O149" s="40">
        <v>5962.4426652463517</v>
      </c>
      <c r="P149" s="16">
        <f t="shared" si="16"/>
        <v>-16.252897906282669</v>
      </c>
      <c r="R149" s="55">
        <v>1.1528394782372076E-4</v>
      </c>
      <c r="S149" s="3">
        <f t="shared" si="12"/>
        <v>-2.0494658362979826E-9</v>
      </c>
    </row>
    <row r="150" spans="1:19" outlineLevel="1">
      <c r="A150" t="s">
        <v>229</v>
      </c>
      <c r="B150" t="s">
        <v>230</v>
      </c>
      <c r="C150" s="53">
        <f>+payroll!G150</f>
        <v>1.443349619286276E-4</v>
      </c>
      <c r="D150" s="53">
        <f>+IFR!T150</f>
        <v>2.3912630585173902E-4</v>
      </c>
      <c r="E150" s="53">
        <f>+claims!R150</f>
        <v>4.9484450162647599E-5</v>
      </c>
      <c r="F150" s="53">
        <f>+costs!L150</f>
        <v>6.7735435276015438E-6</v>
      </c>
      <c r="H150" s="3">
        <f t="shared" si="13"/>
        <v>5.9419452113503897E-5</v>
      </c>
      <c r="J150" s="16">
        <f t="shared" si="15"/>
        <v>3064.8292851789738</v>
      </c>
      <c r="L150" s="6">
        <f>+J150/payroll!F150</f>
        <v>2.28063326356532E-3</v>
      </c>
      <c r="O150" s="40">
        <v>3073.2048392549168</v>
      </c>
      <c r="P150" s="16">
        <f t="shared" si="16"/>
        <v>-8.3755540759430005</v>
      </c>
      <c r="R150" s="55">
        <v>5.9420476846737386E-5</v>
      </c>
      <c r="S150" s="3">
        <f t="shared" si="12"/>
        <v>-1.0247332334891932E-9</v>
      </c>
    </row>
    <row r="151" spans="1:19" outlineLevel="1">
      <c r="A151" t="s">
        <v>231</v>
      </c>
      <c r="B151" t="s">
        <v>232</v>
      </c>
      <c r="C151" s="53">
        <f>+payroll!G151</f>
        <v>1.1379181575470442E-4</v>
      </c>
      <c r="D151" s="53">
        <f>+IFR!T151</f>
        <v>5.6577018759746012E-5</v>
      </c>
      <c r="E151" s="53">
        <f>+claims!R151</f>
        <v>0</v>
      </c>
      <c r="F151" s="53">
        <f>+costs!L151</f>
        <v>0</v>
      </c>
      <c r="H151" s="3">
        <f t="shared" si="13"/>
        <v>2.1296104314306305E-5</v>
      </c>
      <c r="J151" s="16">
        <f t="shared" si="15"/>
        <v>1098.4437224031385</v>
      </c>
      <c r="L151" s="6">
        <f>+J151/payroll!F151</f>
        <v>1.0367821019001903E-3</v>
      </c>
      <c r="O151" s="40">
        <v>1101.4265503927952</v>
      </c>
      <c r="P151" s="16">
        <f t="shared" si="16"/>
        <v>-2.9828279896566983</v>
      </c>
      <c r="R151" s="55">
        <v>2.1296104314304113E-5</v>
      </c>
      <c r="S151" s="3">
        <f t="shared" si="12"/>
        <v>2.1921212674941293E-18</v>
      </c>
    </row>
    <row r="152" spans="1:19" outlineLevel="1">
      <c r="A152" t="s">
        <v>233</v>
      </c>
      <c r="B152" t="s">
        <v>234</v>
      </c>
      <c r="C152" s="53">
        <f>+payroll!G152</f>
        <v>2.8706789888032934E-4</v>
      </c>
      <c r="D152" s="53">
        <f>+IFR!T152</f>
        <v>2.1260582830810807E-4</v>
      </c>
      <c r="E152" s="53">
        <f>+claims!R152</f>
        <v>9.8968900325295198E-5</v>
      </c>
      <c r="F152" s="53">
        <f>+costs!L152</f>
        <v>1.6236154376828085E-5</v>
      </c>
      <c r="H152" s="3">
        <f t="shared" si="13"/>
        <v>8.7046243573445802E-5</v>
      </c>
      <c r="J152" s="16">
        <f t="shared" si="15"/>
        <v>4489.8070746109897</v>
      </c>
      <c r="L152" s="6">
        <f>+J152/payroll!F152</f>
        <v>1.6798239034155906E-3</v>
      </c>
      <c r="O152" s="40">
        <v>4502.1051599551538</v>
      </c>
      <c r="P152" s="16">
        <f t="shared" si="16"/>
        <v>-12.298085344164065</v>
      </c>
      <c r="R152" s="55">
        <v>8.7048293039767023E-5</v>
      </c>
      <c r="S152" s="3">
        <f t="shared" si="12"/>
        <v>-2.0494663212209567E-9</v>
      </c>
    </row>
    <row r="153" spans="1:19" outlineLevel="1">
      <c r="A153" t="s">
        <v>235</v>
      </c>
      <c r="B153" t="s">
        <v>236</v>
      </c>
      <c r="C153" s="53">
        <f>+payroll!G153</f>
        <v>5.2625685878047068E-4</v>
      </c>
      <c r="D153" s="53">
        <f>+IFR!T153</f>
        <v>4.5924626946387581E-4</v>
      </c>
      <c r="E153" s="53">
        <f>+claims!R153</f>
        <v>1.4845335048794281E-4</v>
      </c>
      <c r="F153" s="53">
        <f>+costs!L153</f>
        <v>4.1617740145294715E-5</v>
      </c>
      <c r="H153" s="3">
        <f t="shared" si="13"/>
        <v>1.7042653769091157E-4</v>
      </c>
      <c r="J153" s="16">
        <f t="shared" si="15"/>
        <v>8790.5260837647056</v>
      </c>
      <c r="L153" s="6">
        <f>+J153/payroll!F153</f>
        <v>1.7940634782860837E-3</v>
      </c>
      <c r="O153" s="40">
        <v>8814.5557862477945</v>
      </c>
      <c r="P153" s="16">
        <f t="shared" si="16"/>
        <v>-24.02970248308884</v>
      </c>
      <c r="R153" s="55">
        <v>1.7042961188945554E-4</v>
      </c>
      <c r="S153" s="3">
        <f t="shared" si="12"/>
        <v>-3.0741985439762271E-9</v>
      </c>
    </row>
    <row r="154" spans="1:19" outlineLevel="1">
      <c r="A154" t="s">
        <v>237</v>
      </c>
      <c r="B154" t="s">
        <v>238</v>
      </c>
      <c r="C154" s="53">
        <f>+payroll!G154</f>
        <v>3.5164059790598206E-4</v>
      </c>
      <c r="D154" s="53">
        <f>+IFR!T154</f>
        <v>7.2577706877736687E-4</v>
      </c>
      <c r="E154" s="53">
        <f>+claims!R154</f>
        <v>2.4742225081323798E-4</v>
      </c>
      <c r="F154" s="53">
        <f>+costs!L154</f>
        <v>2.5990281160578526E-5</v>
      </c>
      <c r="H154" s="3">
        <f t="shared" si="13"/>
        <v>1.8738471465375143E-4</v>
      </c>
      <c r="J154" s="16">
        <f t="shared" si="15"/>
        <v>9665.2214155169695</v>
      </c>
      <c r="L154" s="6">
        <f>+J154/payroll!F154</f>
        <v>2.9521165888160947E-3</v>
      </c>
      <c r="O154" s="40">
        <v>9691.7323541291316</v>
      </c>
      <c r="P154" s="16">
        <f t="shared" si="16"/>
        <v>-26.510938612162136</v>
      </c>
      <c r="R154" s="55">
        <v>1.8738983832035312E-4</v>
      </c>
      <c r="S154" s="3">
        <f t="shared" si="12"/>
        <v>-5.1236666016960409E-9</v>
      </c>
    </row>
    <row r="155" spans="1:19" outlineLevel="1">
      <c r="A155" t="s">
        <v>239</v>
      </c>
      <c r="B155" t="s">
        <v>240</v>
      </c>
      <c r="C155" s="53">
        <f>+payroll!G155</f>
        <v>5.1444178834936454E-5</v>
      </c>
      <c r="D155" s="53">
        <f>+IFR!T155</f>
        <v>8.2213480385255928E-5</v>
      </c>
      <c r="E155" s="53">
        <f>+claims!R155</f>
        <v>0</v>
      </c>
      <c r="F155" s="53">
        <f>+costs!L155</f>
        <v>0</v>
      </c>
      <c r="H155" s="3">
        <f t="shared" si="13"/>
        <v>1.6707207402524047E-5</v>
      </c>
      <c r="J155" s="16">
        <f t="shared" si="15"/>
        <v>861.75043187881636</v>
      </c>
      <c r="L155" s="6">
        <f>+J155/payroll!F155</f>
        <v>1.7991442201704417E-3</v>
      </c>
      <c r="O155" s="40">
        <v>864.09051836292394</v>
      </c>
      <c r="P155" s="16">
        <f t="shared" si="16"/>
        <v>-2.3400864841075872</v>
      </c>
      <c r="R155" s="55">
        <v>1.6707207402523058E-5</v>
      </c>
      <c r="S155" s="3">
        <f t="shared" si="12"/>
        <v>9.893344823930228E-19</v>
      </c>
    </row>
    <row r="156" spans="1:19" outlineLevel="1">
      <c r="A156" t="s">
        <v>241</v>
      </c>
      <c r="B156" t="s">
        <v>242</v>
      </c>
      <c r="C156" s="53">
        <f>+payroll!G156</f>
        <v>4.5888289315440168E-5</v>
      </c>
      <c r="D156" s="53">
        <f>+IFR!T156</f>
        <v>7.425733712216664E-5</v>
      </c>
      <c r="E156" s="53">
        <f>+claims!R156</f>
        <v>0</v>
      </c>
      <c r="F156" s="53">
        <f>+costs!L156</f>
        <v>0</v>
      </c>
      <c r="H156" s="3">
        <f t="shared" si="13"/>
        <v>1.5018203304700851E-5</v>
      </c>
      <c r="J156" s="16">
        <f t="shared" si="15"/>
        <v>774.63234112450277</v>
      </c>
      <c r="L156" s="6">
        <f>+J156/payroll!F156</f>
        <v>1.813069552443664E-3</v>
      </c>
      <c r="O156" s="40">
        <v>776.73585811104635</v>
      </c>
      <c r="P156" s="16">
        <f t="shared" si="16"/>
        <v>-2.1035169865435819</v>
      </c>
      <c r="R156" s="55">
        <v>1.5018203304699967E-5</v>
      </c>
      <c r="S156" s="3">
        <f t="shared" si="12"/>
        <v>8.8430239693348955E-19</v>
      </c>
    </row>
    <row r="157" spans="1:19" outlineLevel="1">
      <c r="A157" t="s">
        <v>243</v>
      </c>
      <c r="B157" t="s">
        <v>244</v>
      </c>
      <c r="C157" s="53">
        <f>+payroll!G157</f>
        <v>2.6720245737692065E-4</v>
      </c>
      <c r="D157" s="53">
        <f>+IFR!T157</f>
        <v>4.2432764069809507E-5</v>
      </c>
      <c r="E157" s="53">
        <f>+claims!R157</f>
        <v>0</v>
      </c>
      <c r="F157" s="53">
        <f>+costs!L157</f>
        <v>0</v>
      </c>
      <c r="H157" s="3">
        <f t="shared" si="13"/>
        <v>3.8704402680841268E-5</v>
      </c>
      <c r="J157" s="16">
        <f t="shared" si="15"/>
        <v>1996.3561187842611</v>
      </c>
      <c r="L157" s="6">
        <f>+J157/payroll!F157</f>
        <v>8.0245054225979199E-4</v>
      </c>
      <c r="O157" s="40">
        <v>2001.7772312062414</v>
      </c>
      <c r="P157" s="16">
        <f t="shared" si="16"/>
        <v>-5.4211124219802969</v>
      </c>
      <c r="R157" s="55">
        <v>3.8704402680836118E-5</v>
      </c>
      <c r="S157" s="3">
        <f t="shared" si="12"/>
        <v>5.1499603193061461E-18</v>
      </c>
    </row>
    <row r="158" spans="1:19" outlineLevel="1">
      <c r="A158" t="s">
        <v>245</v>
      </c>
      <c r="B158" t="s">
        <v>246</v>
      </c>
      <c r="C158" s="53">
        <f>+payroll!G158</f>
        <v>2.5889081652058499E-4</v>
      </c>
      <c r="D158" s="53">
        <f>+IFR!T158</f>
        <v>5.4013372597195013E-4</v>
      </c>
      <c r="E158" s="53">
        <f>+claims!R158</f>
        <v>2.9690670097588562E-4</v>
      </c>
      <c r="F158" s="53">
        <f>+costs!L158</f>
        <v>8.5769843557687174E-5</v>
      </c>
      <c r="H158" s="3">
        <f t="shared" si="13"/>
        <v>1.9587597909256205E-4</v>
      </c>
      <c r="J158" s="16">
        <f t="shared" si="15"/>
        <v>10103.197111936277</v>
      </c>
      <c r="L158" s="6">
        <f>+J158/payroll!F158</f>
        <v>4.1914364747142382E-3</v>
      </c>
      <c r="O158" s="40">
        <v>10130.950373842699</v>
      </c>
      <c r="P158" s="16">
        <f t="shared" si="16"/>
        <v>-27.753261906422267</v>
      </c>
      <c r="R158" s="55">
        <v>1.9588212748952784E-4</v>
      </c>
      <c r="S158" s="3">
        <f t="shared" si="12"/>
        <v>-6.1483969657899745E-9</v>
      </c>
    </row>
    <row r="159" spans="1:19" outlineLevel="1">
      <c r="A159" t="s">
        <v>247</v>
      </c>
      <c r="B159" t="s">
        <v>248</v>
      </c>
      <c r="C159" s="53">
        <f>+payroll!G159</f>
        <v>3.3201628446088513E-5</v>
      </c>
      <c r="D159" s="53">
        <f>+IFR!T159</f>
        <v>4.2432764069809507E-5</v>
      </c>
      <c r="E159" s="53">
        <f>+claims!R159</f>
        <v>0</v>
      </c>
      <c r="F159" s="53">
        <f>+costs!L159</f>
        <v>0</v>
      </c>
      <c r="H159" s="3">
        <f t="shared" si="13"/>
        <v>9.4542990644872534E-6</v>
      </c>
      <c r="J159" s="16">
        <f t="shared" si="15"/>
        <v>487.64860013065572</v>
      </c>
      <c r="L159" s="6">
        <f>+J159/payroll!F159</f>
        <v>1.5774961363680718E-3</v>
      </c>
      <c r="O159" s="40">
        <v>488.97281170739751</v>
      </c>
      <c r="P159" s="16">
        <f t="shared" si="16"/>
        <v>-1.3242115767417886</v>
      </c>
      <c r="R159" s="55">
        <v>9.4542990644866131E-6</v>
      </c>
      <c r="S159" s="3">
        <f t="shared" si="12"/>
        <v>6.4035690812425106E-19</v>
      </c>
    </row>
    <row r="160" spans="1:19" outlineLevel="1">
      <c r="A160" t="s">
        <v>249</v>
      </c>
      <c r="B160" t="s">
        <v>250</v>
      </c>
      <c r="C160" s="53">
        <f>+payroll!G160</f>
        <v>3.5894478306436517E-5</v>
      </c>
      <c r="D160" s="53">
        <f>+IFR!T160</f>
        <v>3.1824573052357132E-5</v>
      </c>
      <c r="E160" s="53">
        <f>+claims!R160</f>
        <v>0</v>
      </c>
      <c r="F160" s="53">
        <f>+costs!L160</f>
        <v>8.0876243459048801E-8</v>
      </c>
      <c r="H160" s="3">
        <f t="shared" si="13"/>
        <v>8.5134071659246349E-6</v>
      </c>
      <c r="J160" s="16">
        <f t="shared" si="15"/>
        <v>439.11780857448446</v>
      </c>
      <c r="L160" s="6">
        <f>+J160/payroll!F160</f>
        <v>1.3139356988510072E-3</v>
      </c>
      <c r="O160" s="40">
        <v>440.31023460707956</v>
      </c>
      <c r="P160" s="16">
        <f t="shared" si="16"/>
        <v>-1.1924260325951082</v>
      </c>
      <c r="R160" s="55">
        <v>8.5134071659195594E-6</v>
      </c>
      <c r="S160" s="3">
        <f t="shared" si="12"/>
        <v>5.0754214199477676E-18</v>
      </c>
    </row>
    <row r="161" spans="1:19" outlineLevel="1">
      <c r="A161" t="s">
        <v>251</v>
      </c>
      <c r="B161" t="s">
        <v>252</v>
      </c>
      <c r="C161" s="53">
        <f>+payroll!G161</f>
        <v>2.2931358147421562E-5</v>
      </c>
      <c r="D161" s="53">
        <f>+IFR!T161</f>
        <v>5.0388907332898789E-5</v>
      </c>
      <c r="E161" s="53">
        <f>+claims!R161</f>
        <v>4.9484450162647599E-5</v>
      </c>
      <c r="F161" s="53">
        <f>+costs!L161</f>
        <v>6.8126713638225126E-6</v>
      </c>
      <c r="H161" s="3">
        <f t="shared" si="13"/>
        <v>2.0675303527730695E-5</v>
      </c>
      <c r="J161" s="16">
        <f t="shared" si="15"/>
        <v>1066.4230900465052</v>
      </c>
      <c r="L161" s="6">
        <f>+J161/payroll!F161</f>
        <v>4.9948272226432817E-3</v>
      </c>
      <c r="O161" s="40">
        <v>1069.3719647103089</v>
      </c>
      <c r="P161" s="16">
        <f t="shared" si="16"/>
        <v>-2.9488746638037355</v>
      </c>
      <c r="R161" s="55">
        <v>2.0676328260964397E-5</v>
      </c>
      <c r="S161" s="3">
        <f t="shared" si="12"/>
        <v>-1.0247332337026455E-9</v>
      </c>
    </row>
    <row r="162" spans="1:19" outlineLevel="1">
      <c r="A162" t="s">
        <v>495</v>
      </c>
      <c r="B162" t="s">
        <v>496</v>
      </c>
      <c r="C162" s="53">
        <f>+payroll!G162</f>
        <v>1.4288606144890383E-3</v>
      </c>
      <c r="D162" s="53">
        <f>+IFR!T162</f>
        <v>1.0608191017452377E-5</v>
      </c>
      <c r="E162" s="53">
        <f>+claims!R162</f>
        <v>0</v>
      </c>
      <c r="F162" s="53">
        <f>+costs!L162</f>
        <v>0</v>
      </c>
      <c r="H162" s="3">
        <f>(C162*$C$3)+(D162*$D$3)+(E162*$E$3)+(F162*$F$3)</f>
        <v>1.7993360068831133E-4</v>
      </c>
      <c r="J162" s="16">
        <f t="shared" ref="J162:J197" si="17">(+H162*$J$272)</f>
        <v>9280.8962244185332</v>
      </c>
      <c r="L162" s="6">
        <f>+J162/payroll!F162</f>
        <v>6.9762294903383813E-4</v>
      </c>
      <c r="O162" s="40">
        <v>9306.0985324313824</v>
      </c>
      <c r="P162" s="16">
        <f t="shared" si="16"/>
        <v>-25.202308012849244</v>
      </c>
      <c r="R162" s="55">
        <v>1.7993360068828382E-4</v>
      </c>
      <c r="S162" s="3">
        <f>+H162-R162</f>
        <v>2.7511630126819675E-17</v>
      </c>
    </row>
    <row r="163" spans="1:19" outlineLevel="1">
      <c r="A163" t="s">
        <v>253</v>
      </c>
      <c r="B163" t="s">
        <v>254</v>
      </c>
      <c r="C163" s="53">
        <f>+payroll!G163</f>
        <v>1.5310593529326883E-3</v>
      </c>
      <c r="D163" s="53">
        <f>+IFR!T163</f>
        <v>2.8827759089926834E-3</v>
      </c>
      <c r="E163" s="53">
        <f>+claims!R163</f>
        <v>1.0391734534155996E-3</v>
      </c>
      <c r="F163" s="53">
        <f>+costs!L163</f>
        <v>4.532489930706651E-4</v>
      </c>
      <c r="H163" s="3">
        <f t="shared" si="13"/>
        <v>9.7955482159541051E-4</v>
      </c>
      <c r="J163" s="16">
        <f t="shared" si="17"/>
        <v>50525.008172897549</v>
      </c>
      <c r="L163" s="6">
        <f>+J163/payroll!F163</f>
        <v>3.5443375278571445E-3</v>
      </c>
      <c r="O163" s="40">
        <v>50663.321993752041</v>
      </c>
      <c r="P163" s="16">
        <f t="shared" si="16"/>
        <v>-138.3138208544915</v>
      </c>
      <c r="R163" s="55">
        <v>9.7957634097648036E-4</v>
      </c>
      <c r="S163" s="3">
        <f t="shared" si="12"/>
        <v>-2.1519381069841706E-8</v>
      </c>
    </row>
    <row r="164" spans="1:19" outlineLevel="1">
      <c r="A164" t="s">
        <v>255</v>
      </c>
      <c r="B164" t="s">
        <v>256</v>
      </c>
      <c r="C164" s="53">
        <f>+payroll!G164</f>
        <v>5.1846257397750349E-5</v>
      </c>
      <c r="D164" s="53">
        <f>+IFR!T164</f>
        <v>5.7019026718806527E-5</v>
      </c>
      <c r="E164" s="53">
        <f>+claims!R164</f>
        <v>0</v>
      </c>
      <c r="F164" s="53">
        <f>+costs!L164</f>
        <v>0</v>
      </c>
      <c r="H164" s="3">
        <f t="shared" si="13"/>
        <v>1.3608160514569609E-5</v>
      </c>
      <c r="J164" s="16">
        <f t="shared" si="17"/>
        <v>701.90295229919639</v>
      </c>
      <c r="L164" s="6">
        <f>+J164/payroll!F164</f>
        <v>1.4540534293508022E-3</v>
      </c>
      <c r="O164" s="40">
        <v>703.80897236145609</v>
      </c>
      <c r="P164" s="16">
        <f t="shared" si="16"/>
        <v>-1.9060200622596994</v>
      </c>
      <c r="R164" s="55">
        <v>1.3608160514568611E-5</v>
      </c>
      <c r="S164" s="3">
        <f t="shared" si="12"/>
        <v>9.978048118655658E-19</v>
      </c>
    </row>
    <row r="165" spans="1:19" outlineLevel="1">
      <c r="A165" t="s">
        <v>257</v>
      </c>
      <c r="B165" t="s">
        <v>258</v>
      </c>
      <c r="C165" s="53">
        <f>+payroll!G165</f>
        <v>2.261999762422929E-4</v>
      </c>
      <c r="D165" s="53">
        <f>+IFR!T165</f>
        <v>4.729485161947518E-5</v>
      </c>
      <c r="E165" s="53">
        <f>+claims!R165</f>
        <v>0</v>
      </c>
      <c r="F165" s="53">
        <f>+costs!L165</f>
        <v>0</v>
      </c>
      <c r="H165" s="3">
        <f t="shared" si="13"/>
        <v>3.4186853482721008E-5</v>
      </c>
      <c r="J165" s="16">
        <f t="shared" si="17"/>
        <v>1763.3429120453659</v>
      </c>
      <c r="L165" s="6">
        <f>+J165/payroll!F165</f>
        <v>8.3726884062704449E-4</v>
      </c>
      <c r="O165" s="40">
        <v>1768.1312762429029</v>
      </c>
      <c r="P165" s="16">
        <f t="shared" si="16"/>
        <v>-4.788364197537021</v>
      </c>
      <c r="R165" s="55">
        <v>3.4186853482716658E-5</v>
      </c>
      <c r="S165" s="3">
        <f t="shared" si="12"/>
        <v>4.3503612170980865E-18</v>
      </c>
    </row>
    <row r="166" spans="1:19" outlineLevel="1">
      <c r="A166" t="s">
        <v>259</v>
      </c>
      <c r="B166" t="s">
        <v>260</v>
      </c>
      <c r="C166" s="53">
        <f>+payroll!G166</f>
        <v>2.1613843797115115E-4</v>
      </c>
      <c r="D166" s="53">
        <f>+IFR!T166</f>
        <v>4.3007374416588175E-4</v>
      </c>
      <c r="E166" s="53">
        <f>+claims!R166</f>
        <v>9.8968900325295198E-5</v>
      </c>
      <c r="F166" s="53">
        <f>+costs!L166</f>
        <v>4.9610120289405365E-6</v>
      </c>
      <c r="H166" s="3">
        <f t="shared" si="13"/>
        <v>9.8598465033287709E-5</v>
      </c>
      <c r="J166" s="16">
        <f t="shared" si="17"/>
        <v>5085.6655919760478</v>
      </c>
      <c r="L166" s="6">
        <f>+J166/payroll!F166</f>
        <v>2.5271818786566738E-3</v>
      </c>
      <c r="O166" s="40">
        <v>5099.5817333590385</v>
      </c>
      <c r="P166" s="16">
        <f t="shared" ref="P166:P228" si="18">+J166-O166</f>
        <v>-13.916141382990645</v>
      </c>
      <c r="R166" s="55">
        <v>9.8600514500221613E-5</v>
      </c>
      <c r="S166" s="3">
        <f t="shared" ref="S166:S228" si="19">+H166-R166</f>
        <v>-2.0494669339036044E-9</v>
      </c>
    </row>
    <row r="167" spans="1:19" outlineLevel="1">
      <c r="A167" t="s">
        <v>261</v>
      </c>
      <c r="B167" t="s">
        <v>262</v>
      </c>
      <c r="C167" s="53">
        <f>+payroll!G167</f>
        <v>1.243555604043732E-4</v>
      </c>
      <c r="D167" s="53">
        <f>+IFR!T167</f>
        <v>3.5360636724841262E-5</v>
      </c>
      <c r="E167" s="53">
        <f>+claims!R167</f>
        <v>0</v>
      </c>
      <c r="F167" s="53">
        <f>+costs!L167</f>
        <v>0</v>
      </c>
      <c r="H167" s="3">
        <f t="shared" si="13"/>
        <v>1.9964524641151809E-5</v>
      </c>
      <c r="J167" s="16">
        <f t="shared" si="17"/>
        <v>1029.7614267462004</v>
      </c>
      <c r="L167" s="6">
        <f>+J167/payroll!F167</f>
        <v>8.8938974663228039E-4</v>
      </c>
      <c r="O167" s="40">
        <v>1032.5577477080319</v>
      </c>
      <c r="P167" s="16">
        <f t="shared" si="18"/>
        <v>-2.7963209618314977</v>
      </c>
      <c r="R167" s="55">
        <v>1.9964524641149413E-5</v>
      </c>
      <c r="S167" s="3">
        <f t="shared" si="19"/>
        <v>2.3954091748351614E-18</v>
      </c>
    </row>
    <row r="168" spans="1:19" outlineLevel="1">
      <c r="A168" t="s">
        <v>263</v>
      </c>
      <c r="B168" t="s">
        <v>264</v>
      </c>
      <c r="C168" s="53">
        <f>+payroll!G168</f>
        <v>1.7279595936166235E-4</v>
      </c>
      <c r="D168" s="53">
        <f>+IFR!T168</f>
        <v>1.7061507219735906E-4</v>
      </c>
      <c r="E168" s="53">
        <f>+claims!R168</f>
        <v>0</v>
      </c>
      <c r="F168" s="53">
        <f>+costs!L168</f>
        <v>2.201731476960586E-6</v>
      </c>
      <c r="H168" s="3">
        <f t="shared" ref="H168:H231" si="20">(C168*$C$3)+(D168*$D$3)+(E168*$E$3)+(F168*$F$3)</f>
        <v>4.4247417831054029E-5</v>
      </c>
      <c r="J168" s="16">
        <f t="shared" si="17"/>
        <v>2282.2624096755221</v>
      </c>
      <c r="L168" s="6">
        <f>+J168/payroll!F168</f>
        <v>1.4185763068745314E-3</v>
      </c>
      <c r="O168" s="40">
        <v>2288.4599016814991</v>
      </c>
      <c r="P168" s="16">
        <f t="shared" si="18"/>
        <v>-6.1974920059769829</v>
      </c>
      <c r="R168" s="55">
        <v>4.4247417830931318E-5</v>
      </c>
      <c r="S168" s="3">
        <f t="shared" si="19"/>
        <v>1.22711357134625E-16</v>
      </c>
    </row>
    <row r="169" spans="1:19" outlineLevel="1">
      <c r="A169" t="s">
        <v>265</v>
      </c>
      <c r="B169" t="s">
        <v>266</v>
      </c>
      <c r="C169" s="53">
        <f>+payroll!G169</f>
        <v>5.3384000258521118E-4</v>
      </c>
      <c r="D169" s="53">
        <f>+IFR!T169</f>
        <v>1.7503515178796423E-4</v>
      </c>
      <c r="E169" s="53">
        <f>+claims!R169</f>
        <v>0</v>
      </c>
      <c r="F169" s="53">
        <f>+costs!L169</f>
        <v>0</v>
      </c>
      <c r="H169" s="3">
        <f t="shared" si="20"/>
        <v>8.8609394296646919E-5</v>
      </c>
      <c r="J169" s="16">
        <f t="shared" si="17"/>
        <v>4570.4337034877426</v>
      </c>
      <c r="L169" s="6">
        <f>+J169/payroll!F169</f>
        <v>9.1953233839832155E-4</v>
      </c>
      <c r="O169" s="40">
        <v>4582.8447331085808</v>
      </c>
      <c r="P169" s="16">
        <f t="shared" si="18"/>
        <v>-12.411029620838235</v>
      </c>
      <c r="R169" s="55">
        <v>8.8609394296636646E-5</v>
      </c>
      <c r="S169" s="3">
        <f t="shared" si="19"/>
        <v>1.0272815584300155E-17</v>
      </c>
    </row>
    <row r="170" spans="1:19" outlineLevel="1">
      <c r="A170" t="s">
        <v>267</v>
      </c>
      <c r="B170" t="s">
        <v>268</v>
      </c>
      <c r="C170" s="53">
        <f>+payroll!G170</f>
        <v>4.6017537327372069E-4</v>
      </c>
      <c r="D170" s="53">
        <f>+IFR!T170</f>
        <v>1.0846875315345056E-3</v>
      </c>
      <c r="E170" s="53">
        <f>+claims!R170</f>
        <v>2.5002669555864053E-3</v>
      </c>
      <c r="F170" s="53">
        <f>+costs!L170</f>
        <v>1.3239895587770982E-3</v>
      </c>
      <c r="H170" s="3">
        <f t="shared" si="20"/>
        <v>1.3625416417052481E-3</v>
      </c>
      <c r="J170" s="16">
        <f t="shared" si="17"/>
        <v>70279.300418272222</v>
      </c>
      <c r="L170" s="6">
        <f>+J170/payroll!F170</f>
        <v>1.6403055865223566E-2</v>
      </c>
      <c r="O170" s="40">
        <v>70472.821950770114</v>
      </c>
      <c r="P170" s="16">
        <f t="shared" si="18"/>
        <v>-193.52153249789262</v>
      </c>
      <c r="R170" s="55">
        <v>1.3625934176471058E-3</v>
      </c>
      <c r="S170" s="3">
        <f t="shared" si="19"/>
        <v>-5.1775941857686025E-8</v>
      </c>
    </row>
    <row r="171" spans="1:19" outlineLevel="1">
      <c r="A171" t="s">
        <v>269</v>
      </c>
      <c r="B171" t="s">
        <v>270</v>
      </c>
      <c r="C171" s="53">
        <f>+payroll!G171</f>
        <v>3.9548498297311455E-5</v>
      </c>
      <c r="D171" s="53">
        <f>+IFR!T171</f>
        <v>2.8288509379873006E-5</v>
      </c>
      <c r="E171" s="53">
        <f>+claims!R171</f>
        <v>0</v>
      </c>
      <c r="F171" s="53">
        <f>+costs!L171</f>
        <v>0</v>
      </c>
      <c r="H171" s="3">
        <f t="shared" si="20"/>
        <v>8.4796259596480572E-6</v>
      </c>
      <c r="J171" s="16">
        <f t="shared" si="17"/>
        <v>437.37538876745975</v>
      </c>
      <c r="L171" s="6">
        <f>+J171/payroll!F171</f>
        <v>1.1878047333157245E-3</v>
      </c>
      <c r="O171" s="40">
        <v>438.56308325284925</v>
      </c>
      <c r="P171" s="16">
        <f t="shared" si="18"/>
        <v>-1.1876944853894997</v>
      </c>
      <c r="R171" s="55">
        <v>8.4796259596472966E-6</v>
      </c>
      <c r="S171" s="3">
        <f t="shared" si="19"/>
        <v>7.606355866343617E-19</v>
      </c>
    </row>
    <row r="172" spans="1:19" outlineLevel="1">
      <c r="A172" t="s">
        <v>271</v>
      </c>
      <c r="B172" t="s">
        <v>272</v>
      </c>
      <c r="C172" s="53">
        <f>+payroll!G172</f>
        <v>5.0878131457923814E-5</v>
      </c>
      <c r="D172" s="53">
        <f>+IFR!T172</f>
        <v>5.8345050595988077E-5</v>
      </c>
      <c r="E172" s="53">
        <f>+claims!R172</f>
        <v>0</v>
      </c>
      <c r="F172" s="53">
        <f>+costs!L172</f>
        <v>0</v>
      </c>
      <c r="H172" s="3">
        <f t="shared" si="20"/>
        <v>1.3652897756738986E-5</v>
      </c>
      <c r="J172" s="16">
        <f t="shared" si="17"/>
        <v>704.2104796334595</v>
      </c>
      <c r="L172" s="6">
        <f>+J172/payroll!F172</f>
        <v>1.486592844710899E-3</v>
      </c>
      <c r="O172" s="40">
        <v>706.12276579472871</v>
      </c>
      <c r="P172" s="16">
        <f t="shared" si="18"/>
        <v>-1.9122861612692077</v>
      </c>
      <c r="R172" s="55">
        <v>1.3652897756738006E-5</v>
      </c>
      <c r="S172" s="3">
        <f t="shared" si="19"/>
        <v>9.7917008702597119E-19</v>
      </c>
    </row>
    <row r="173" spans="1:19" outlineLevel="1">
      <c r="A173" t="s">
        <v>273</v>
      </c>
      <c r="B173" t="s">
        <v>274</v>
      </c>
      <c r="C173" s="53">
        <f>+payroll!G173</f>
        <v>7.0185983304090231E-5</v>
      </c>
      <c r="D173" s="53">
        <f>+IFR!T173</f>
        <v>4.7736859578535695E-5</v>
      </c>
      <c r="E173" s="53">
        <f>+claims!R173</f>
        <v>0</v>
      </c>
      <c r="F173" s="53">
        <f>+costs!L173</f>
        <v>0</v>
      </c>
      <c r="H173" s="3">
        <f t="shared" si="20"/>
        <v>1.4740355360328242E-5</v>
      </c>
      <c r="J173" s="16">
        <f t="shared" si="17"/>
        <v>760.30106598730868</v>
      </c>
      <c r="L173" s="6">
        <f>+J173/payroll!F173</f>
        <v>1.1634719521001619E-3</v>
      </c>
      <c r="O173" s="40">
        <v>762.36566634320195</v>
      </c>
      <c r="P173" s="16">
        <f t="shared" si="18"/>
        <v>-2.0646003558932762</v>
      </c>
      <c r="R173" s="55">
        <v>1.474035536032689E-5</v>
      </c>
      <c r="S173" s="3">
        <f t="shared" si="19"/>
        <v>1.3518645838178633E-18</v>
      </c>
    </row>
    <row r="174" spans="1:19" outlineLevel="1">
      <c r="A174" t="s">
        <v>275</v>
      </c>
      <c r="B174" t="s">
        <v>276</v>
      </c>
      <c r="C174" s="53">
        <f>+payroll!G174</f>
        <v>4.9911401402052869E-5</v>
      </c>
      <c r="D174" s="53">
        <f>+IFR!T174</f>
        <v>8.4865528139619015E-5</v>
      </c>
      <c r="E174" s="53">
        <f>+claims!R174</f>
        <v>0</v>
      </c>
      <c r="F174" s="53">
        <f>+costs!L174</f>
        <v>7.8165307924108632E-8</v>
      </c>
      <c r="H174" s="3">
        <f t="shared" si="20"/>
        <v>1.689401537746345E-5</v>
      </c>
      <c r="J174" s="16">
        <f t="shared" si="17"/>
        <v>871.38590531276191</v>
      </c>
      <c r="L174" s="6">
        <f>+J174/payroll!F174</f>
        <v>1.8751303984976193E-3</v>
      </c>
      <c r="O174" s="40">
        <v>873.7521569603897</v>
      </c>
      <c r="P174" s="16">
        <f t="shared" si="18"/>
        <v>-2.3662516476277915</v>
      </c>
      <c r="R174" s="55">
        <v>1.6894015377458253E-5</v>
      </c>
      <c r="S174" s="3">
        <f t="shared" si="19"/>
        <v>5.1973941643523869E-18</v>
      </c>
    </row>
    <row r="175" spans="1:19" outlineLevel="1">
      <c r="A175" t="s">
        <v>277</v>
      </c>
      <c r="B175" t="s">
        <v>278</v>
      </c>
      <c r="C175" s="53">
        <f>+payroll!G175</f>
        <v>2.0084289026999497E-4</v>
      </c>
      <c r="D175" s="53">
        <f>+IFR!T175</f>
        <v>1.2376222853694442E-5</v>
      </c>
      <c r="E175" s="53">
        <f>+claims!R175</f>
        <v>0</v>
      </c>
      <c r="F175" s="53">
        <f>+costs!L175</f>
        <v>0</v>
      </c>
      <c r="H175" s="3">
        <f t="shared" si="20"/>
        <v>2.6652389140461176E-5</v>
      </c>
      <c r="J175" s="16">
        <f t="shared" si="17"/>
        <v>1374.7185450588731</v>
      </c>
      <c r="L175" s="6">
        <f>+J175/payroll!F175</f>
        <v>7.3515351210007112E-4</v>
      </c>
      <c r="O175" s="40">
        <v>1378.4515983509134</v>
      </c>
      <c r="P175" s="16">
        <f t="shared" si="18"/>
        <v>-3.7330532920402675</v>
      </c>
      <c r="R175" s="55">
        <v>2.6652389140457306E-5</v>
      </c>
      <c r="S175" s="3">
        <f t="shared" si="19"/>
        <v>3.8692465030576439E-18</v>
      </c>
    </row>
    <row r="176" spans="1:19" outlineLevel="1">
      <c r="A176" t="s">
        <v>279</v>
      </c>
      <c r="B176" t="s">
        <v>280</v>
      </c>
      <c r="C176" s="53">
        <f>+payroll!G176</f>
        <v>3.189907929984596E-4</v>
      </c>
      <c r="D176" s="53">
        <f>+IFR!T176</f>
        <v>4.2653768049339769E-4</v>
      </c>
      <c r="E176" s="53">
        <f>+claims!R176</f>
        <v>4.9484450162647599E-5</v>
      </c>
      <c r="F176" s="53">
        <f>+costs!L176</f>
        <v>3.4559367657488789E-5</v>
      </c>
      <c r="H176" s="3">
        <f t="shared" si="20"/>
        <v>1.2134934730537258E-4</v>
      </c>
      <c r="J176" s="16">
        <f t="shared" si="17"/>
        <v>6259.1461235358174</v>
      </c>
      <c r="L176" s="6">
        <f>+J176/payroll!F176</f>
        <v>2.1074517964614244E-3</v>
      </c>
      <c r="O176" s="40">
        <v>6276.1958567194733</v>
      </c>
      <c r="P176" s="16">
        <f t="shared" si="18"/>
        <v>-17.049733183655917</v>
      </c>
      <c r="R176" s="55">
        <v>1.2135037203709619E-4</v>
      </c>
      <c r="S176" s="3">
        <f t="shared" si="19"/>
        <v>-1.0247317236156952E-9</v>
      </c>
    </row>
    <row r="177" spans="1:19" outlineLevel="1">
      <c r="A177" t="s">
        <v>281</v>
      </c>
      <c r="B177" t="s">
        <v>282</v>
      </c>
      <c r="C177" s="53">
        <f>+payroll!G177</f>
        <v>1.3490798564975829E-4</v>
      </c>
      <c r="D177" s="53">
        <f>+IFR!T177</f>
        <v>2.8642115747121421E-4</v>
      </c>
      <c r="E177" s="53">
        <f>+claims!R177</f>
        <v>0</v>
      </c>
      <c r="F177" s="53">
        <f>+costs!L177</f>
        <v>8.272510149387794E-6</v>
      </c>
      <c r="H177" s="3">
        <f t="shared" si="20"/>
        <v>5.7629648979754241E-5</v>
      </c>
      <c r="J177" s="16">
        <f t="shared" si="17"/>
        <v>2972.5120243509423</v>
      </c>
      <c r="L177" s="6">
        <f>+J177/payroll!F177</f>
        <v>2.366500877656177E-3</v>
      </c>
      <c r="O177" s="40">
        <v>2980.5838917208389</v>
      </c>
      <c r="P177" s="16">
        <f t="shared" si="18"/>
        <v>-8.0718673698966086</v>
      </c>
      <c r="R177" s="55">
        <v>5.7629648979303118E-5</v>
      </c>
      <c r="S177" s="3">
        <f t="shared" si="19"/>
        <v>4.5112297144406233E-16</v>
      </c>
    </row>
    <row r="178" spans="1:19" outlineLevel="1">
      <c r="A178" t="s">
        <v>283</v>
      </c>
      <c r="B178" t="s">
        <v>284</v>
      </c>
      <c r="C178" s="53">
        <f>+payroll!G178</f>
        <v>1.0569677711776437E-4</v>
      </c>
      <c r="D178" s="53">
        <f>+IFR!T178</f>
        <v>2.9172525297994038E-5</v>
      </c>
      <c r="E178" s="53">
        <f>+claims!R178</f>
        <v>0</v>
      </c>
      <c r="F178" s="53">
        <f>+costs!L178</f>
        <v>0</v>
      </c>
      <c r="H178" s="3">
        <f t="shared" si="20"/>
        <v>1.6858662801969803E-5</v>
      </c>
      <c r="J178" s="16">
        <f t="shared" si="17"/>
        <v>869.56243497055038</v>
      </c>
      <c r="L178" s="6">
        <f>+J178/payroll!F178</f>
        <v>8.8360818962756953E-4</v>
      </c>
      <c r="O178" s="40">
        <v>871.92373497788481</v>
      </c>
      <c r="P178" s="16">
        <f t="shared" si="18"/>
        <v>-2.361300007334421</v>
      </c>
      <c r="R178" s="55">
        <v>1.6858662801967763E-5</v>
      </c>
      <c r="S178" s="3">
        <f t="shared" si="19"/>
        <v>2.0396553369883552E-18</v>
      </c>
    </row>
    <row r="179" spans="1:19" outlineLevel="1">
      <c r="A179" t="s">
        <v>285</v>
      </c>
      <c r="B179" t="s">
        <v>286</v>
      </c>
      <c r="C179" s="53">
        <f>+payroll!G179</f>
        <v>1.5387248360481472E-4</v>
      </c>
      <c r="D179" s="53">
        <f>+IFR!T179</f>
        <v>2.019976372906557E-4</v>
      </c>
      <c r="E179" s="53">
        <f>+claims!R179</f>
        <v>0</v>
      </c>
      <c r="F179" s="53">
        <f>+costs!L179</f>
        <v>0</v>
      </c>
      <c r="H179" s="3">
        <f t="shared" si="20"/>
        <v>4.4483765111933798E-5</v>
      </c>
      <c r="J179" s="16">
        <f t="shared" si="17"/>
        <v>2294.4530987873814</v>
      </c>
      <c r="L179" s="6">
        <f>+J179/payroll!F179</f>
        <v>1.6015441983702082E-3</v>
      </c>
      <c r="O179" s="40">
        <v>2300.683694660911</v>
      </c>
      <c r="P179" s="16">
        <f t="shared" si="18"/>
        <v>-6.2305958735296372</v>
      </c>
      <c r="R179" s="55">
        <v>4.4483765111930837E-5</v>
      </c>
      <c r="S179" s="3">
        <f t="shared" si="19"/>
        <v>2.961227183601034E-18</v>
      </c>
    </row>
    <row r="180" spans="1:19" outlineLevel="1">
      <c r="A180" t="s">
        <v>287</v>
      </c>
      <c r="B180" t="s">
        <v>288</v>
      </c>
      <c r="C180" s="53">
        <f>+payroll!G180</f>
        <v>1.304950248708721E-4</v>
      </c>
      <c r="D180" s="53">
        <f>+IFR!T180</f>
        <v>1.9801956565911107E-4</v>
      </c>
      <c r="E180" s="53">
        <f>+claims!R180</f>
        <v>9.8968900325295198E-5</v>
      </c>
      <c r="F180" s="53">
        <f>+costs!L180</f>
        <v>9.6717143434882613E-6</v>
      </c>
      <c r="H180" s="3">
        <f t="shared" si="20"/>
        <v>6.1712687471135135E-5</v>
      </c>
      <c r="J180" s="16">
        <f t="shared" si="17"/>
        <v>3183.113359364821</v>
      </c>
      <c r="L180" s="6">
        <f>+J180/payroll!F180</f>
        <v>2.6198646704948419E-3</v>
      </c>
      <c r="O180" s="40">
        <v>3191.8631131121911</v>
      </c>
      <c r="P180" s="16">
        <f t="shared" si="18"/>
        <v>-8.7497537473700504</v>
      </c>
      <c r="R180" s="55">
        <v>6.1714736937815268E-5</v>
      </c>
      <c r="S180" s="3">
        <f t="shared" si="19"/>
        <v>-2.0494666801325334E-9</v>
      </c>
    </row>
    <row r="181" spans="1:19" outlineLevel="1">
      <c r="A181" t="s">
        <v>289</v>
      </c>
      <c r="B181" t="s">
        <v>290</v>
      </c>
      <c r="C181" s="53">
        <f>+payroll!G181</f>
        <v>8.358002405818014E-5</v>
      </c>
      <c r="D181" s="53">
        <f>+IFR!T181</f>
        <v>1.3569644343157833E-4</v>
      </c>
      <c r="E181" s="53">
        <f>+claims!R181</f>
        <v>0</v>
      </c>
      <c r="F181" s="53">
        <f>+costs!L181</f>
        <v>0</v>
      </c>
      <c r="H181" s="3">
        <f t="shared" si="20"/>
        <v>2.7409558436219807E-5</v>
      </c>
      <c r="J181" s="16">
        <f t="shared" si="17"/>
        <v>1413.7730053229388</v>
      </c>
      <c r="L181" s="6">
        <f>+J181/payroll!F181</f>
        <v>1.8167614277925972E-3</v>
      </c>
      <c r="O181" s="40">
        <v>1417.6121111463501</v>
      </c>
      <c r="P181" s="16">
        <f t="shared" si="18"/>
        <v>-3.8391058234112734</v>
      </c>
      <c r="R181" s="55">
        <v>2.7409558436218201E-5</v>
      </c>
      <c r="S181" s="3">
        <f t="shared" si="19"/>
        <v>1.6059744679941534E-18</v>
      </c>
    </row>
    <row r="182" spans="1:19" outlineLevel="1">
      <c r="A182" t="s">
        <v>291</v>
      </c>
      <c r="B182" t="s">
        <v>292</v>
      </c>
      <c r="C182" s="53">
        <f>+payroll!G182</f>
        <v>6.0780744138402127E-5</v>
      </c>
      <c r="D182" s="53">
        <f>+IFR!T182</f>
        <v>6.6301193859077351E-5</v>
      </c>
      <c r="E182" s="53">
        <f>+claims!R182</f>
        <v>0</v>
      </c>
      <c r="F182" s="53">
        <f>+costs!L182</f>
        <v>0</v>
      </c>
      <c r="H182" s="3">
        <f t="shared" si="20"/>
        <v>1.5885242249684933E-5</v>
      </c>
      <c r="J182" s="16">
        <f t="shared" si="17"/>
        <v>819.35382971887475</v>
      </c>
      <c r="L182" s="6">
        <f>+J182/payroll!F182</f>
        <v>1.4478587085932093E-3</v>
      </c>
      <c r="O182" s="40">
        <v>821.57878807304292</v>
      </c>
      <c r="P182" s="16">
        <f t="shared" si="18"/>
        <v>-2.2249583541681659</v>
      </c>
      <c r="R182" s="55">
        <v>1.5885242249683764E-5</v>
      </c>
      <c r="S182" s="3">
        <f t="shared" si="19"/>
        <v>1.1689054672109345E-18</v>
      </c>
    </row>
    <row r="183" spans="1:19" outlineLevel="1">
      <c r="A183" t="s">
        <v>293</v>
      </c>
      <c r="B183" t="s">
        <v>294</v>
      </c>
      <c r="C183" s="53">
        <f>+payroll!G183</f>
        <v>1.6785445341622339E-3</v>
      </c>
      <c r="D183" s="53">
        <f>+IFR!T183</f>
        <v>8.0445448549013856E-5</v>
      </c>
      <c r="E183" s="53">
        <f>+claims!R183</f>
        <v>0</v>
      </c>
      <c r="F183" s="53">
        <f>+costs!L183</f>
        <v>0</v>
      </c>
      <c r="H183" s="3">
        <f t="shared" si="20"/>
        <v>2.1987374783890597E-4</v>
      </c>
      <c r="J183" s="16">
        <f t="shared" si="17"/>
        <v>11340.991501091079</v>
      </c>
      <c r="L183" s="6">
        <f>+J183/payroll!F183</f>
        <v>7.2566949052779814E-4</v>
      </c>
      <c r="O183" s="40">
        <v>11371.788005444854</v>
      </c>
      <c r="P183" s="16">
        <f t="shared" si="18"/>
        <v>-30.796504353775163</v>
      </c>
      <c r="R183" s="55">
        <v>2.1987374783887366E-4</v>
      </c>
      <c r="S183" s="3">
        <f t="shared" si="19"/>
        <v>3.2309224740068032E-17</v>
      </c>
    </row>
    <row r="184" spans="1:19" outlineLevel="1">
      <c r="A184" t="s">
        <v>295</v>
      </c>
      <c r="B184" t="s">
        <v>296</v>
      </c>
      <c r="C184" s="53">
        <f>+payroll!G184</f>
        <v>1.8934243771406933E-3</v>
      </c>
      <c r="D184" s="53">
        <f>+IFR!T184</f>
        <v>3.8008264399613748E-3</v>
      </c>
      <c r="E184" s="53">
        <f>+claims!R184</f>
        <v>1.3360801543914852E-3</v>
      </c>
      <c r="F184" s="53">
        <f>+costs!L184</f>
        <v>2.5263501031145348E-3</v>
      </c>
      <c r="H184" s="3">
        <f t="shared" si="20"/>
        <v>2.4280034371652022E-3</v>
      </c>
      <c r="J184" s="16">
        <f t="shared" si="17"/>
        <v>125235.35263375397</v>
      </c>
      <c r="L184" s="6">
        <f>+J184/payroll!F184</f>
        <v>7.1039465690154189E-3</v>
      </c>
      <c r="O184" s="40">
        <v>125576.8606584581</v>
      </c>
      <c r="P184" s="16">
        <f t="shared" si="18"/>
        <v>-341.50802470413328</v>
      </c>
      <c r="R184" s="55">
        <v>2.4280311048354855E-3</v>
      </c>
      <c r="S184" s="3">
        <f t="shared" si="19"/>
        <v>-2.7667670283310075E-8</v>
      </c>
    </row>
    <row r="185" spans="1:19" outlineLevel="1">
      <c r="A185" t="s">
        <v>297</v>
      </c>
      <c r="B185" t="s">
        <v>298</v>
      </c>
      <c r="C185" s="53">
        <f>+payroll!G185</f>
        <v>3.2347305761097689E-5</v>
      </c>
      <c r="D185" s="53">
        <f>+IFR!T185</f>
        <v>6.1881114268472193E-5</v>
      </c>
      <c r="E185" s="53">
        <f>+claims!R185</f>
        <v>0</v>
      </c>
      <c r="F185" s="53">
        <f>+costs!L185</f>
        <v>7.409890462169835E-8</v>
      </c>
      <c r="H185" s="3">
        <f t="shared" si="20"/>
        <v>1.1823011846469254E-5</v>
      </c>
      <c r="J185" s="16">
        <f t="shared" si="17"/>
        <v>609.8257667684195</v>
      </c>
      <c r="L185" s="6">
        <f>+J185/payroll!F185</f>
        <v>2.0248290564668231E-3</v>
      </c>
      <c r="O185" s="40">
        <v>611.48175089271922</v>
      </c>
      <c r="P185" s="16">
        <f t="shared" si="18"/>
        <v>-1.6559841242997209</v>
      </c>
      <c r="R185" s="55">
        <v>1.1823011846464614E-5</v>
      </c>
      <c r="S185" s="3">
        <f t="shared" si="19"/>
        <v>4.6400464850590573E-18</v>
      </c>
    </row>
    <row r="186" spans="1:19" outlineLevel="1">
      <c r="A186" t="s">
        <v>299</v>
      </c>
      <c r="B186" t="s">
        <v>300</v>
      </c>
      <c r="C186" s="53">
        <f>+payroll!G186</f>
        <v>4.0477891994393786E-5</v>
      </c>
      <c r="D186" s="53">
        <f>+IFR!T186</f>
        <v>1.9448350198662692E-5</v>
      </c>
      <c r="E186" s="53">
        <f>+claims!R186</f>
        <v>0</v>
      </c>
      <c r="F186" s="53">
        <f>+costs!L186</f>
        <v>0</v>
      </c>
      <c r="H186" s="3">
        <f t="shared" si="20"/>
        <v>7.4907802741320598E-6</v>
      </c>
      <c r="J186" s="16">
        <f t="shared" si="17"/>
        <v>386.37116190748924</v>
      </c>
      <c r="L186" s="6">
        <f>+J186/payroll!F186</f>
        <v>1.0251974663887809E-3</v>
      </c>
      <c r="O186" s="40">
        <v>387.42035422624724</v>
      </c>
      <c r="P186" s="16">
        <f t="shared" si="18"/>
        <v>-1.0491923187580028</v>
      </c>
      <c r="R186" s="55">
        <v>7.4907802741312797E-6</v>
      </c>
      <c r="S186" s="3">
        <f t="shared" si="19"/>
        <v>7.8011734442121061E-19</v>
      </c>
    </row>
    <row r="187" spans="1:19" outlineLevel="1">
      <c r="A187" t="s">
        <v>301</v>
      </c>
      <c r="B187" t="s">
        <v>302</v>
      </c>
      <c r="C187" s="53">
        <f>+payroll!G187</f>
        <v>5.2766633556354471E-4</v>
      </c>
      <c r="D187" s="53">
        <f>+IFR!T187</f>
        <v>8.0003440589953342E-5</v>
      </c>
      <c r="E187" s="53">
        <f>+claims!R187</f>
        <v>0</v>
      </c>
      <c r="F187" s="53">
        <f>+costs!L187</f>
        <v>0</v>
      </c>
      <c r="H187" s="3">
        <f t="shared" si="20"/>
        <v>7.5958722019187256E-5</v>
      </c>
      <c r="J187" s="16">
        <f t="shared" si="17"/>
        <v>3917.9175746096603</v>
      </c>
      <c r="L187" s="6">
        <f>+J187/payroll!F187</f>
        <v>7.974741510583498E-4</v>
      </c>
      <c r="O187" s="40">
        <v>3928.5566942698042</v>
      </c>
      <c r="P187" s="16">
        <f t="shared" si="18"/>
        <v>-10.639119660143933</v>
      </c>
      <c r="R187" s="55">
        <v>7.5958722019177092E-5</v>
      </c>
      <c r="S187" s="3">
        <f t="shared" si="19"/>
        <v>1.0164395367051604E-17</v>
      </c>
    </row>
    <row r="188" spans="1:19" outlineLevel="1">
      <c r="A188" t="s">
        <v>303</v>
      </c>
      <c r="B188" t="s">
        <v>304</v>
      </c>
      <c r="C188" s="53">
        <f>+payroll!G188</f>
        <v>5.3320852430616887E-4</v>
      </c>
      <c r="D188" s="53">
        <f>+IFR!T188</f>
        <v>1.2256880704748102E-3</v>
      </c>
      <c r="E188" s="53">
        <f>+claims!R188</f>
        <v>2.9690670097588562E-4</v>
      </c>
      <c r="F188" s="53">
        <f>+costs!L188</f>
        <v>1.5488794632103993E-4</v>
      </c>
      <c r="H188" s="3">
        <f t="shared" si="20"/>
        <v>3.573308472866292E-4</v>
      </c>
      <c r="J188" s="16">
        <f t="shared" si="17"/>
        <v>18430.968417041106</v>
      </c>
      <c r="L188" s="6">
        <f>+J188/payroll!F188</f>
        <v>3.7125454462678918E-3</v>
      </c>
      <c r="O188" s="40">
        <v>18481.335772525053</v>
      </c>
      <c r="P188" s="16">
        <f t="shared" si="18"/>
        <v>-50.367355483947904</v>
      </c>
      <c r="R188" s="55">
        <v>3.5733699567984216E-4</v>
      </c>
      <c r="S188" s="3">
        <f t="shared" si="19"/>
        <v>-6.1483932129596797E-9</v>
      </c>
    </row>
    <row r="189" spans="1:19" outlineLevel="1">
      <c r="A189" t="s">
        <v>305</v>
      </c>
      <c r="B189" t="s">
        <v>306</v>
      </c>
      <c r="C189" s="53">
        <f>+payroll!G189</f>
        <v>4.62279719294283E-5</v>
      </c>
      <c r="D189" s="53">
        <f>+IFR!T189</f>
        <v>6.0997098350351171E-5</v>
      </c>
      <c r="E189" s="53">
        <f>+claims!R189</f>
        <v>0</v>
      </c>
      <c r="F189" s="53">
        <f>+costs!L189</f>
        <v>0</v>
      </c>
      <c r="H189" s="3">
        <f t="shared" si="20"/>
        <v>1.3403133784972433E-5</v>
      </c>
      <c r="J189" s="16">
        <f t="shared" si="17"/>
        <v>691.32776348874472</v>
      </c>
      <c r="L189" s="6">
        <f>+J189/payroll!F189</f>
        <v>1.6062009002788024E-3</v>
      </c>
      <c r="O189" s="40">
        <v>693.20506658669262</v>
      </c>
      <c r="P189" s="16">
        <f t="shared" si="18"/>
        <v>-1.8773030979479017</v>
      </c>
      <c r="R189" s="55">
        <v>1.3403133784971544E-5</v>
      </c>
      <c r="S189" s="3">
        <f t="shared" si="19"/>
        <v>8.8938459461701536E-19</v>
      </c>
    </row>
    <row r="190" spans="1:19" outlineLevel="1">
      <c r="A190" t="s">
        <v>307</v>
      </c>
      <c r="B190" t="s">
        <v>308</v>
      </c>
      <c r="C190" s="53">
        <f>+payroll!G190</f>
        <v>5.5343353243601269E-5</v>
      </c>
      <c r="D190" s="53">
        <f>+IFR!T190</f>
        <v>2.7846501420812492E-5</v>
      </c>
      <c r="E190" s="53">
        <f>+claims!R190</f>
        <v>0</v>
      </c>
      <c r="F190" s="53">
        <f>+costs!L190</f>
        <v>0</v>
      </c>
      <c r="H190" s="3">
        <f t="shared" si="20"/>
        <v>1.039873183305172E-5</v>
      </c>
      <c r="J190" s="16">
        <f t="shared" si="17"/>
        <v>536.36202820888627</v>
      </c>
      <c r="L190" s="6">
        <f>+J190/payroll!F190</f>
        <v>1.0409101957017225E-3</v>
      </c>
      <c r="O190" s="40">
        <v>537.81852127967431</v>
      </c>
      <c r="P190" s="16">
        <f t="shared" si="18"/>
        <v>-1.4564930707880421</v>
      </c>
      <c r="R190" s="55">
        <v>1.0398731833050655E-5</v>
      </c>
      <c r="S190" s="3">
        <f t="shared" si="19"/>
        <v>1.0655674476459098E-18</v>
      </c>
    </row>
    <row r="191" spans="1:19" outlineLevel="1">
      <c r="A191" t="s">
        <v>309</v>
      </c>
      <c r="B191" t="s">
        <v>310</v>
      </c>
      <c r="C191" s="53">
        <f>+payroll!G191</f>
        <v>8.8461640463238507E-5</v>
      </c>
      <c r="D191" s="53">
        <f>+IFR!T191</f>
        <v>9.8567774870495005E-5</v>
      </c>
      <c r="E191" s="53">
        <f>+claims!R191</f>
        <v>0</v>
      </c>
      <c r="F191" s="53">
        <f>+costs!L191</f>
        <v>0</v>
      </c>
      <c r="H191" s="3">
        <f t="shared" si="20"/>
        <v>2.3378676916716689E-5</v>
      </c>
      <c r="J191" s="16">
        <f t="shared" si="17"/>
        <v>1205.8619040482056</v>
      </c>
      <c r="L191" s="6">
        <f>+J191/payroll!F191</f>
        <v>1.4640748951187438E-3</v>
      </c>
      <c r="O191" s="40">
        <v>1209.1364265073321</v>
      </c>
      <c r="P191" s="16">
        <f t="shared" si="18"/>
        <v>-3.2745224591265014</v>
      </c>
      <c r="R191" s="55">
        <v>2.3378676916714985E-5</v>
      </c>
      <c r="S191" s="3">
        <f t="shared" si="19"/>
        <v>1.7042302898756523E-18</v>
      </c>
    </row>
    <row r="192" spans="1:19" outlineLevel="1">
      <c r="A192" t="s">
        <v>311</v>
      </c>
      <c r="B192" t="s">
        <v>312</v>
      </c>
      <c r="C192" s="53">
        <f>+payroll!G192</f>
        <v>7.0839412110448093E-5</v>
      </c>
      <c r="D192" s="53">
        <f>+IFR!T192</f>
        <v>8.0445448549013856E-5</v>
      </c>
      <c r="E192" s="53">
        <f>+claims!R192</f>
        <v>0</v>
      </c>
      <c r="F192" s="53">
        <f>+costs!L192</f>
        <v>0</v>
      </c>
      <c r="H192" s="3">
        <f t="shared" si="20"/>
        <v>1.8910607582432744E-5</v>
      </c>
      <c r="J192" s="16">
        <f t="shared" si="17"/>
        <v>975.40084698956207</v>
      </c>
      <c r="L192" s="6">
        <f>+J192/payroll!F192</f>
        <v>1.478866215123E-3</v>
      </c>
      <c r="O192" s="40">
        <v>978.04955159611518</v>
      </c>
      <c r="P192" s="16">
        <f t="shared" si="18"/>
        <v>-2.6487046065531104</v>
      </c>
      <c r="R192" s="55">
        <v>1.8910607582431382E-5</v>
      </c>
      <c r="S192" s="3">
        <f t="shared" si="19"/>
        <v>1.3620289791849149E-18</v>
      </c>
    </row>
    <row r="193" spans="1:19" outlineLevel="1">
      <c r="A193" t="s">
        <v>313</v>
      </c>
      <c r="B193" t="s">
        <v>314</v>
      </c>
      <c r="C193" s="53">
        <f>+payroll!G193</f>
        <v>7.1968765271144061E-5</v>
      </c>
      <c r="D193" s="53">
        <f>+IFR!T193</f>
        <v>4.1548748151688478E-5</v>
      </c>
      <c r="E193" s="53">
        <f>+claims!R193</f>
        <v>0</v>
      </c>
      <c r="F193" s="53">
        <f>+costs!L193</f>
        <v>0</v>
      </c>
      <c r="H193" s="3">
        <f t="shared" si="20"/>
        <v>1.4189689177854067E-5</v>
      </c>
      <c r="J193" s="16">
        <f t="shared" si="17"/>
        <v>731.89794575690507</v>
      </c>
      <c r="L193" s="6">
        <f>+J193/payroll!F193</f>
        <v>1.0922629034410217E-3</v>
      </c>
      <c r="O193" s="40">
        <v>733.88541733478814</v>
      </c>
      <c r="P193" s="16">
        <f t="shared" si="18"/>
        <v>-1.9874715778830705</v>
      </c>
      <c r="R193" s="55">
        <v>1.4189689177852681E-5</v>
      </c>
      <c r="S193" s="3">
        <f t="shared" si="19"/>
        <v>1.3857459017080354E-18</v>
      </c>
    </row>
    <row r="194" spans="1:19" outlineLevel="1">
      <c r="A194" t="s">
        <v>315</v>
      </c>
      <c r="B194" t="s">
        <v>316</v>
      </c>
      <c r="C194" s="53">
        <f>+payroll!G194</f>
        <v>7.104856404224645E-5</v>
      </c>
      <c r="D194" s="53">
        <f>+IFR!T194</f>
        <v>1.0431387833828172E-4</v>
      </c>
      <c r="E194" s="53">
        <f>+claims!R194</f>
        <v>0</v>
      </c>
      <c r="F194" s="53">
        <f>+costs!L194</f>
        <v>0</v>
      </c>
      <c r="H194" s="3">
        <f t="shared" si="20"/>
        <v>2.1920305297566023E-5</v>
      </c>
      <c r="J194" s="16">
        <f t="shared" si="17"/>
        <v>1130.6397354137855</v>
      </c>
      <c r="L194" s="6">
        <f>+J194/payroll!F194</f>
        <v>1.7091872599979609E-3</v>
      </c>
      <c r="O194" s="40">
        <v>1133.7099917958626</v>
      </c>
      <c r="P194" s="16">
        <f t="shared" si="18"/>
        <v>-3.0702563820771047</v>
      </c>
      <c r="R194" s="55">
        <v>2.1920305297564654E-5</v>
      </c>
      <c r="S194" s="3">
        <f t="shared" si="19"/>
        <v>1.3688052427629493E-18</v>
      </c>
    </row>
    <row r="195" spans="1:19" outlineLevel="1">
      <c r="A195" t="s">
        <v>317</v>
      </c>
      <c r="B195" t="s">
        <v>318</v>
      </c>
      <c r="C195" s="53">
        <f>+payroll!G195</f>
        <v>7.1590927819869732E-5</v>
      </c>
      <c r="D195" s="53">
        <f>+IFR!T195</f>
        <v>4.1548748151688478E-5</v>
      </c>
      <c r="E195" s="53">
        <f>+claims!R195</f>
        <v>0</v>
      </c>
      <c r="F195" s="53">
        <f>+costs!L195</f>
        <v>0</v>
      </c>
      <c r="H195" s="3">
        <f t="shared" si="20"/>
        <v>1.4142459496444777E-5</v>
      </c>
      <c r="J195" s="16">
        <f t="shared" si="17"/>
        <v>729.46185949955702</v>
      </c>
      <c r="L195" s="6">
        <f>+J195/payroll!F195</f>
        <v>1.09437283938089E-3</v>
      </c>
      <c r="O195" s="40">
        <v>731.44271587620085</v>
      </c>
      <c r="P195" s="16">
        <f t="shared" si="18"/>
        <v>-1.9808563766438283</v>
      </c>
      <c r="R195" s="55">
        <v>1.4142459496443398E-5</v>
      </c>
      <c r="S195" s="3">
        <f t="shared" si="19"/>
        <v>1.378969638130001E-18</v>
      </c>
    </row>
    <row r="196" spans="1:19" outlineLevel="1">
      <c r="A196" t="s">
        <v>319</v>
      </c>
      <c r="B196" t="s">
        <v>320</v>
      </c>
      <c r="C196" s="53">
        <f>+payroll!G196</f>
        <v>2.6969065247549524E-4</v>
      </c>
      <c r="D196" s="53">
        <f>+IFR!T196</f>
        <v>9.9009782829555533E-5</v>
      </c>
      <c r="E196" s="53">
        <f>+claims!R196</f>
        <v>0</v>
      </c>
      <c r="F196" s="53">
        <f>+costs!L196</f>
        <v>0</v>
      </c>
      <c r="H196" s="3">
        <f t="shared" si="20"/>
        <v>4.6087554413131345E-5</v>
      </c>
      <c r="J196" s="16">
        <f t="shared" si="17"/>
        <v>2377.1758476975801</v>
      </c>
      <c r="L196" s="6">
        <f>+J196/payroll!F196</f>
        <v>9.4670816483377065E-4</v>
      </c>
      <c r="O196" s="40">
        <v>2383.631077501534</v>
      </c>
      <c r="P196" s="16">
        <f t="shared" si="18"/>
        <v>-6.4552298039538982</v>
      </c>
      <c r="R196" s="55">
        <v>4.6087554413126154E-5</v>
      </c>
      <c r="S196" s="3">
        <f t="shared" si="19"/>
        <v>5.1906179007743525E-18</v>
      </c>
    </row>
    <row r="197" spans="1:19" outlineLevel="1">
      <c r="A197" t="s">
        <v>321</v>
      </c>
      <c r="B197" t="s">
        <v>322</v>
      </c>
      <c r="C197" s="53">
        <f>+payroll!G197</f>
        <v>2.8704691153960899E-4</v>
      </c>
      <c r="D197" s="53">
        <f>+IFR!T197</f>
        <v>5.3659766229946612E-4</v>
      </c>
      <c r="E197" s="53">
        <f>+claims!R197</f>
        <v>4.9484450162647599E-5</v>
      </c>
      <c r="F197" s="53">
        <f>+costs!L197</f>
        <v>1.6073669937315555E-4</v>
      </c>
      <c r="H197" s="3">
        <f t="shared" si="20"/>
        <v>2.0682025887817484E-4</v>
      </c>
      <c r="J197" s="16">
        <f t="shared" si="17"/>
        <v>10667.698264320943</v>
      </c>
      <c r="L197" s="6">
        <f>+J197/payroll!F197</f>
        <v>3.9915222291966469E-3</v>
      </c>
      <c r="O197" s="40">
        <v>10696.719436790088</v>
      </c>
      <c r="P197" s="16">
        <f t="shared" si="18"/>
        <v>-29.021172469145313</v>
      </c>
      <c r="R197" s="55">
        <v>2.0682128360305791E-4</v>
      </c>
      <c r="S197" s="3">
        <f t="shared" si="19"/>
        <v>-1.0247248830724809E-9</v>
      </c>
    </row>
    <row r="198" spans="1:19" outlineLevel="1">
      <c r="A198" t="s">
        <v>323</v>
      </c>
      <c r="B198" t="s">
        <v>324</v>
      </c>
      <c r="C198" s="53">
        <f>+payroll!G198</f>
        <v>1.7216982647773335E-4</v>
      </c>
      <c r="D198" s="53">
        <f>+IFR!T198</f>
        <v>8.0003440589953342E-5</v>
      </c>
      <c r="E198" s="53">
        <f>+claims!R198</f>
        <v>0</v>
      </c>
      <c r="F198" s="53">
        <f>+costs!L198</f>
        <v>0</v>
      </c>
      <c r="H198" s="3">
        <f t="shared" si="20"/>
        <v>3.152165838346084E-5</v>
      </c>
      <c r="J198" s="16">
        <f t="shared" ref="J198:J230" si="21">(+H198*$J$272)</f>
        <v>1625.8733174869255</v>
      </c>
      <c r="L198" s="6">
        <f>+J198/payroll!F198</f>
        <v>1.014262501984565E-3</v>
      </c>
      <c r="O198" s="40">
        <v>1630.2883824921876</v>
      </c>
      <c r="P198" s="16">
        <f t="shared" si="18"/>
        <v>-4.4150650052620222</v>
      </c>
      <c r="R198" s="55">
        <v>3.1521658383457519E-5</v>
      </c>
      <c r="S198" s="3">
        <f t="shared" si="19"/>
        <v>3.3203691532368573E-18</v>
      </c>
    </row>
    <row r="199" spans="1:19" outlineLevel="1">
      <c r="A199" t="s">
        <v>325</v>
      </c>
      <c r="B199" t="s">
        <v>326</v>
      </c>
      <c r="C199" s="53">
        <f>+payroll!G199</f>
        <v>1.5014640112539449E-4</v>
      </c>
      <c r="D199" s="53">
        <f>+IFR!T199</f>
        <v>3.0189143603833222E-4</v>
      </c>
      <c r="E199" s="53">
        <f>+claims!R199</f>
        <v>1.4845335048794281E-4</v>
      </c>
      <c r="F199" s="53">
        <f>+costs!L199</f>
        <v>1.2513280825405431E-4</v>
      </c>
      <c r="H199" s="3">
        <f t="shared" si="20"/>
        <v>1.5385241717108983E-4</v>
      </c>
      <c r="J199" s="16">
        <f t="shared" si="21"/>
        <v>7935.6402149384076</v>
      </c>
      <c r="L199" s="6">
        <f>+J199/payroll!F199</f>
        <v>5.676592905938322E-3</v>
      </c>
      <c r="O199" s="40">
        <v>7957.3484714498727</v>
      </c>
      <c r="P199" s="16">
        <f t="shared" si="18"/>
        <v>-21.708256511465152</v>
      </c>
      <c r="R199" s="55">
        <v>1.5385549136511298E-4</v>
      </c>
      <c r="S199" s="3">
        <f t="shared" si="19"/>
        <v>-3.0741940231513235E-9</v>
      </c>
    </row>
    <row r="200" spans="1:19" outlineLevel="1">
      <c r="A200" t="s">
        <v>327</v>
      </c>
      <c r="B200" t="s">
        <v>328</v>
      </c>
      <c r="C200" s="53">
        <f>+payroll!G200</f>
        <v>6.917353989724022E-5</v>
      </c>
      <c r="D200" s="53">
        <f>+IFR!T200</f>
        <v>3.712866856108332E-5</v>
      </c>
      <c r="E200" s="53">
        <f>+claims!R200</f>
        <v>0</v>
      </c>
      <c r="F200" s="53">
        <f>+costs!L200</f>
        <v>0</v>
      </c>
      <c r="H200" s="3">
        <f t="shared" si="20"/>
        <v>1.3287776057290442E-5</v>
      </c>
      <c r="J200" s="16">
        <f t="shared" si="21"/>
        <v>685.3776624781176</v>
      </c>
      <c r="L200" s="6">
        <f>+J200/payroll!F200</f>
        <v>1.0641691204649091E-3</v>
      </c>
      <c r="O200" s="40">
        <v>687.23880805474732</v>
      </c>
      <c r="P200" s="16">
        <f t="shared" si="18"/>
        <v>-1.861145576629724</v>
      </c>
      <c r="R200" s="55">
        <v>1.328777605728911E-5</v>
      </c>
      <c r="S200" s="3">
        <f t="shared" si="19"/>
        <v>1.3315357930837601E-18</v>
      </c>
    </row>
    <row r="201" spans="1:19" outlineLevel="1">
      <c r="A201" t="s">
        <v>329</v>
      </c>
      <c r="B201" t="s">
        <v>330</v>
      </c>
      <c r="C201" s="53">
        <f>+payroll!G201</f>
        <v>8.6637265231306906E-5</v>
      </c>
      <c r="D201" s="53">
        <f>+IFR!T201</f>
        <v>9.812576691143449E-5</v>
      </c>
      <c r="E201" s="53">
        <f>+claims!R201</f>
        <v>0</v>
      </c>
      <c r="F201" s="53">
        <f>+costs!L201</f>
        <v>0</v>
      </c>
      <c r="H201" s="3">
        <f t="shared" si="20"/>
        <v>2.3095379017842673E-5</v>
      </c>
      <c r="J201" s="16">
        <f t="shared" si="21"/>
        <v>1191.2495226475794</v>
      </c>
      <c r="L201" s="6">
        <f>+J201/payroll!F201</f>
        <v>1.4767898954378819E-3</v>
      </c>
      <c r="O201" s="40">
        <v>1194.4843651309841</v>
      </c>
      <c r="P201" s="16">
        <f t="shared" si="18"/>
        <v>-3.2348424834046909</v>
      </c>
      <c r="R201" s="55">
        <v>2.3095379017841006E-5</v>
      </c>
      <c r="S201" s="3">
        <f t="shared" si="19"/>
        <v>1.6669608401964631E-18</v>
      </c>
    </row>
    <row r="202" spans="1:19" outlineLevel="1">
      <c r="A202" t="s">
        <v>505</v>
      </c>
      <c r="B202" t="s">
        <v>503</v>
      </c>
      <c r="C202" s="53">
        <f>+payroll!G202</f>
        <v>2.4354437075362645E-5</v>
      </c>
      <c r="D202" s="53">
        <f>+IFR!T202</f>
        <v>2.6520477543630945E-5</v>
      </c>
      <c r="E202" s="53">
        <f>+claims!R202</f>
        <v>0</v>
      </c>
      <c r="F202" s="53">
        <f>+costs!L202</f>
        <v>0</v>
      </c>
      <c r="H202" s="3">
        <f>(C202*$C$3)+(D202*$D$3)+(E202*$E$3)+(F202*$F$3)</f>
        <v>6.3593643273741992E-6</v>
      </c>
      <c r="J202" s="16">
        <f t="shared" si="21"/>
        <v>328.01322348829729</v>
      </c>
      <c r="L202" s="6">
        <f>+J202/payroll!F202</f>
        <v>1.4465517128892185E-3</v>
      </c>
      <c r="O202" s="40">
        <v>328.90394460951086</v>
      </c>
      <c r="P202" s="16">
        <f t="shared" si="18"/>
        <v>-0.8907211212135735</v>
      </c>
      <c r="R202" s="55">
        <v>6.3593643273737299E-6</v>
      </c>
      <c r="S202" s="3">
        <f t="shared" si="19"/>
        <v>4.6925625277888239E-19</v>
      </c>
    </row>
    <row r="203" spans="1:19" outlineLevel="1">
      <c r="A203" t="s">
        <v>331</v>
      </c>
      <c r="B203" t="s">
        <v>332</v>
      </c>
      <c r="C203" s="53">
        <f>+payroll!G203</f>
        <v>9.95301016257693E-5</v>
      </c>
      <c r="D203" s="53">
        <f>+IFR!T203</f>
        <v>9.9893798747676549E-5</v>
      </c>
      <c r="E203" s="53">
        <f>+claims!R203</f>
        <v>4.9484450162647599E-5</v>
      </c>
      <c r="F203" s="53">
        <f>+costs!L203</f>
        <v>2.8533409785905915E-5</v>
      </c>
      <c r="H203" s="3">
        <f t="shared" si="20"/>
        <v>4.9470700942621415E-5</v>
      </c>
      <c r="J203" s="16">
        <f t="shared" si="21"/>
        <v>2551.677062212756</v>
      </c>
      <c r="L203" s="6">
        <f>+J203/payroll!F203</f>
        <v>2.7535436767799882E-3</v>
      </c>
      <c r="O203" s="40">
        <v>2558.6591494688391</v>
      </c>
      <c r="P203" s="16">
        <f t="shared" si="18"/>
        <v>-6.9820872560831049</v>
      </c>
      <c r="R203" s="55">
        <v>4.9471725674675977E-5</v>
      </c>
      <c r="S203" s="3">
        <f t="shared" si="19"/>
        <v>-1.0247320545616321E-9</v>
      </c>
    </row>
    <row r="204" spans="1:19" outlineLevel="1">
      <c r="A204" t="s">
        <v>333</v>
      </c>
      <c r="B204" t="s">
        <v>334</v>
      </c>
      <c r="C204" s="53">
        <f>+payroll!G204</f>
        <v>6.9378062653417108E-5</v>
      </c>
      <c r="D204" s="53">
        <f>+IFR!T204</f>
        <v>1.1094399772418945E-4</v>
      </c>
      <c r="E204" s="53">
        <f>+claims!R204</f>
        <v>0</v>
      </c>
      <c r="F204" s="53">
        <f>+costs!L204</f>
        <v>0</v>
      </c>
      <c r="H204" s="3">
        <f t="shared" si="20"/>
        <v>2.2540257547200822E-5</v>
      </c>
      <c r="J204" s="16">
        <f t="shared" si="21"/>
        <v>1162.6166006070864</v>
      </c>
      <c r="L204" s="6">
        <f>+J204/payroll!F204</f>
        <v>1.799844806060609E-3</v>
      </c>
      <c r="O204" s="40">
        <v>1165.7736902848346</v>
      </c>
      <c r="P204" s="16">
        <f t="shared" si="18"/>
        <v>-3.1570896777482176</v>
      </c>
      <c r="R204" s="55">
        <v>2.2540257547199483E-5</v>
      </c>
      <c r="S204" s="3">
        <f t="shared" si="19"/>
        <v>1.3383120566617945E-18</v>
      </c>
    </row>
    <row r="205" spans="1:19" outlineLevel="1">
      <c r="A205" t="s">
        <v>335</v>
      </c>
      <c r="B205" t="s">
        <v>336</v>
      </c>
      <c r="C205" s="53">
        <f>+payroll!G205</f>
        <v>6.5251559122966773E-5</v>
      </c>
      <c r="D205" s="53">
        <f>+IFR!T205</f>
        <v>6.1881114268472193E-5</v>
      </c>
      <c r="E205" s="53">
        <f>+claims!R205</f>
        <v>0</v>
      </c>
      <c r="F205" s="53">
        <f>+costs!L205</f>
        <v>0</v>
      </c>
      <c r="H205" s="3">
        <f t="shared" si="20"/>
        <v>1.5891584173929872E-5</v>
      </c>
      <c r="J205" s="16">
        <f t="shared" si="21"/>
        <v>819.68094339055835</v>
      </c>
      <c r="L205" s="6">
        <f>+J205/payroll!F205</f>
        <v>1.3491947814887435E-3</v>
      </c>
      <c r="O205" s="40">
        <v>821.90679002310696</v>
      </c>
      <c r="P205" s="16">
        <f t="shared" si="18"/>
        <v>-2.2258466325486097</v>
      </c>
      <c r="R205" s="55">
        <v>1.5891584173928615E-5</v>
      </c>
      <c r="S205" s="3">
        <f t="shared" si="19"/>
        <v>1.2569968937253817E-18</v>
      </c>
    </row>
    <row r="206" spans="1:19" outlineLevel="1">
      <c r="A206" t="s">
        <v>337</v>
      </c>
      <c r="B206" t="s">
        <v>338</v>
      </c>
      <c r="C206" s="53">
        <f>+payroll!G206</f>
        <v>1.4623117662153602E-5</v>
      </c>
      <c r="D206" s="53">
        <f>+IFR!T206</f>
        <v>1.5028270608057535E-5</v>
      </c>
      <c r="E206" s="53">
        <f>+claims!R206</f>
        <v>0</v>
      </c>
      <c r="F206" s="53">
        <f>+costs!L206</f>
        <v>0</v>
      </c>
      <c r="H206" s="3">
        <f t="shared" si="20"/>
        <v>3.7064235337763924E-6</v>
      </c>
      <c r="J206" s="16">
        <f t="shared" si="21"/>
        <v>191.17570064253098</v>
      </c>
      <c r="L206" s="6">
        <f>+J206/payroll!F206</f>
        <v>1.4041497390003958E-3</v>
      </c>
      <c r="O206" s="40">
        <v>191.69483896449881</v>
      </c>
      <c r="P206" s="16">
        <f t="shared" si="18"/>
        <v>-0.51913832196783005</v>
      </c>
      <c r="R206" s="55">
        <v>3.7064235337761108E-6</v>
      </c>
      <c r="S206" s="3">
        <f t="shared" si="19"/>
        <v>2.8163845496205486E-19</v>
      </c>
    </row>
    <row r="207" spans="1:19" outlineLevel="1">
      <c r="A207" t="s">
        <v>339</v>
      </c>
      <c r="B207" t="s">
        <v>340</v>
      </c>
      <c r="C207" s="53">
        <f>+payroll!G207</f>
        <v>1.8739501967252037E-4</v>
      </c>
      <c r="D207" s="53">
        <f>+IFR!T207</f>
        <v>2.7227690278127769E-4</v>
      </c>
      <c r="E207" s="53">
        <f>+claims!R207</f>
        <v>9.8968900325295198E-5</v>
      </c>
      <c r="F207" s="53">
        <f>+costs!L207</f>
        <v>7.9033891669503465E-5</v>
      </c>
      <c r="H207" s="3">
        <f t="shared" si="20"/>
        <v>1.1972466035722112E-4</v>
      </c>
      <c r="J207" s="16">
        <f t="shared" si="21"/>
        <v>6175.3454831591453</v>
      </c>
      <c r="L207" s="6">
        <f>+J207/payroll!F207</f>
        <v>3.5393533495414638E-3</v>
      </c>
      <c r="O207" s="40">
        <v>6192.2206541081387</v>
      </c>
      <c r="P207" s="16">
        <f t="shared" si="18"/>
        <v>-16.8751709489934</v>
      </c>
      <c r="R207" s="55">
        <v>1.1972670982013943E-4</v>
      </c>
      <c r="S207" s="3">
        <f t="shared" si="19"/>
        <v>-2.0494629183169131E-9</v>
      </c>
    </row>
    <row r="208" spans="1:19" outlineLevel="1">
      <c r="A208" t="s">
        <v>341</v>
      </c>
      <c r="B208" t="s">
        <v>342</v>
      </c>
      <c r="C208" s="53">
        <f>+payroll!G208</f>
        <v>1.5723743002253596E-4</v>
      </c>
      <c r="D208" s="53">
        <f>+IFR!T208</f>
        <v>1.7503515178796423E-4</v>
      </c>
      <c r="E208" s="53">
        <f>+claims!R208</f>
        <v>0</v>
      </c>
      <c r="F208" s="53">
        <f>+costs!L208</f>
        <v>0</v>
      </c>
      <c r="H208" s="3">
        <f t="shared" si="20"/>
        <v>4.153407272631252E-5</v>
      </c>
      <c r="J208" s="16">
        <f t="shared" si="21"/>
        <v>2142.3092589476501</v>
      </c>
      <c r="L208" s="6">
        <f>+J208/payroll!F208</f>
        <v>1.4633456991192352E-3</v>
      </c>
      <c r="O208" s="40">
        <v>2148.1267076615277</v>
      </c>
      <c r="P208" s="16">
        <f t="shared" si="18"/>
        <v>-5.8174487138776385</v>
      </c>
      <c r="R208" s="55">
        <v>4.1534072726309498E-5</v>
      </c>
      <c r="S208" s="3">
        <f t="shared" si="19"/>
        <v>3.0222135558033436E-18</v>
      </c>
    </row>
    <row r="209" spans="1:19" outlineLevel="1">
      <c r="A209" t="s">
        <v>343</v>
      </c>
      <c r="B209" t="s">
        <v>344</v>
      </c>
      <c r="C209" s="53">
        <f>+payroll!G209</f>
        <v>4.934995194317454E-5</v>
      </c>
      <c r="D209" s="53">
        <f>+IFR!T209</f>
        <v>5.3924971005382912E-5</v>
      </c>
      <c r="E209" s="53">
        <f>+claims!R209</f>
        <v>9.8968900325295198E-5</v>
      </c>
      <c r="F209" s="53">
        <f>+costs!L209</f>
        <v>1.8292308615562383E-5</v>
      </c>
      <c r="H209" s="3">
        <f t="shared" si="20"/>
        <v>3.8730085586701385E-5</v>
      </c>
      <c r="J209" s="16">
        <f t="shared" si="21"/>
        <v>1997.6808318068286</v>
      </c>
      <c r="L209" s="6">
        <f>+J209/payroll!F209</f>
        <v>4.3477050721798484E-3</v>
      </c>
      <c r="O209" s="40">
        <v>2003.2115391182901</v>
      </c>
      <c r="P209" s="16">
        <f t="shared" si="18"/>
        <v>-5.5307073114615832</v>
      </c>
      <c r="R209" s="55">
        <v>3.8732135052915697E-5</v>
      </c>
      <c r="S209" s="3">
        <f t="shared" si="19"/>
        <v>-2.0494662143118463E-9</v>
      </c>
    </row>
    <row r="210" spans="1:19" outlineLevel="1">
      <c r="A210" t="s">
        <v>345</v>
      </c>
      <c r="B210" t="s">
        <v>346</v>
      </c>
      <c r="C210" s="53">
        <f>+payroll!G210</f>
        <v>6.4013744205984287E-4</v>
      </c>
      <c r="D210" s="53">
        <f>+IFR!T210</f>
        <v>8.1108460487604628E-4</v>
      </c>
      <c r="E210" s="53">
        <f>+claims!R210</f>
        <v>5.443289517891236E-4</v>
      </c>
      <c r="F210" s="53">
        <f>+costs!L210</f>
        <v>4.5582817713860714E-4</v>
      </c>
      <c r="H210" s="3">
        <f t="shared" si="20"/>
        <v>5.3654900491851892E-4</v>
      </c>
      <c r="J210" s="16">
        <f t="shared" si="21"/>
        <v>27674.962402324039</v>
      </c>
      <c r="L210" s="6">
        <f>+J210/payroll!F210</f>
        <v>4.6433831061483393E-3</v>
      </c>
      <c r="O210" s="40">
        <v>27750.696851005061</v>
      </c>
      <c r="P210" s="16">
        <f t="shared" si="18"/>
        <v>-75.734448681021604</v>
      </c>
      <c r="R210" s="55">
        <v>5.3656027696343087E-4</v>
      </c>
      <c r="S210" s="3">
        <f t="shared" si="19"/>
        <v>-1.1272044911944494E-8</v>
      </c>
    </row>
    <row r="211" spans="1:19" outlineLevel="1">
      <c r="A211" t="s">
        <v>486</v>
      </c>
      <c r="B211" t="s">
        <v>350</v>
      </c>
      <c r="C211" s="53">
        <f>+payroll!G211</f>
        <v>9.5591383195072123E-5</v>
      </c>
      <c r="D211" s="53">
        <f>+IFR!T211</f>
        <v>1.0696592609264481E-4</v>
      </c>
      <c r="E211" s="53">
        <f>+claims!R211</f>
        <v>0</v>
      </c>
      <c r="F211" s="53">
        <f>+costs!L211</f>
        <v>0</v>
      </c>
      <c r="H211" s="3">
        <f>(C211*$C$3)+(D211*$D$3)+(E211*$E$3)+(F211*$F$3)</f>
        <v>2.5319663660964616E-5</v>
      </c>
      <c r="J211" s="16">
        <f t="shared" si="21"/>
        <v>1305.9771492132361</v>
      </c>
      <c r="L211" s="6">
        <f>+J211/payroll!F211</f>
        <v>1.4673629182547618E-3</v>
      </c>
      <c r="O211" s="40">
        <v>1309.5235349907855</v>
      </c>
      <c r="P211" s="16">
        <f>+J211-O211</f>
        <v>-3.5463857775494034</v>
      </c>
      <c r="R211" s="55">
        <v>2.5319663660962777E-5</v>
      </c>
      <c r="S211" s="3">
        <f>+H211-R211</f>
        <v>1.8397555614363403E-18</v>
      </c>
    </row>
    <row r="212" spans="1:19" outlineLevel="1">
      <c r="A212" t="s">
        <v>487</v>
      </c>
      <c r="B212" t="s">
        <v>351</v>
      </c>
      <c r="C212" s="53">
        <f>+payroll!G212</f>
        <v>5.3415572556787141E-5</v>
      </c>
      <c r="D212" s="53">
        <f>+IFR!T212</f>
        <v>5.3040955087261889E-5</v>
      </c>
      <c r="E212" s="53">
        <f>+claims!R212</f>
        <v>0</v>
      </c>
      <c r="F212" s="53">
        <f>+costs!L212</f>
        <v>0</v>
      </c>
      <c r="H212" s="3">
        <f>(C212*$C$3)+(D212*$D$3)+(E212*$E$3)+(F212*$F$3)</f>
        <v>1.3307065955506129E-5</v>
      </c>
      <c r="J212" s="16">
        <f t="shared" si="21"/>
        <v>686.37262696965524</v>
      </c>
      <c r="L212" s="6">
        <f>+J212/payroll!F212</f>
        <v>1.3801070513974909E-3</v>
      </c>
      <c r="O212" s="40">
        <v>688.23647437605644</v>
      </c>
      <c r="P212" s="16">
        <f>+J212-O212</f>
        <v>-1.8638474064011916</v>
      </c>
      <c r="R212" s="55">
        <v>1.33070659555051E-5</v>
      </c>
      <c r="S212" s="3">
        <f>+H212-R212</f>
        <v>1.0282979979667206E-18</v>
      </c>
    </row>
    <row r="213" spans="1:19" outlineLevel="1">
      <c r="A213" t="s">
        <v>488</v>
      </c>
      <c r="B213" t="s">
        <v>347</v>
      </c>
      <c r="C213" s="53">
        <f>+payroll!G213</f>
        <v>2.6277202171488304E-5</v>
      </c>
      <c r="D213" s="53">
        <f>+IFR!T213</f>
        <v>2.7404493461751977E-5</v>
      </c>
      <c r="E213" s="53">
        <f>+claims!R213</f>
        <v>0</v>
      </c>
      <c r="F213" s="53">
        <f>+costs!L213</f>
        <v>0</v>
      </c>
      <c r="H213" s="3">
        <f>(C213*$C$3)+(D213*$D$3)+(E213*$E$3)+(F213*$F$3)</f>
        <v>6.7102119541550347E-6</v>
      </c>
      <c r="J213" s="16">
        <f t="shared" si="21"/>
        <v>346.10979023447692</v>
      </c>
      <c r="L213" s="6">
        <f>+J213/payroll!F213</f>
        <v>1.4146710599620168E-3</v>
      </c>
      <c r="O213" s="40">
        <v>347.04965264960146</v>
      </c>
      <c r="P213" s="16">
        <f>+J213-O213</f>
        <v>-0.93986241512453716</v>
      </c>
      <c r="R213" s="55">
        <v>6.7102119541545298E-6</v>
      </c>
      <c r="S213" s="3">
        <f>+H213-R213</f>
        <v>5.04831636563563E-19</v>
      </c>
    </row>
    <row r="214" spans="1:19" outlineLevel="1">
      <c r="A214" t="s">
        <v>349</v>
      </c>
      <c r="B214" t="s">
        <v>348</v>
      </c>
      <c r="C214" s="53">
        <f>+payroll!G214</f>
        <v>3.0994047726358979E-4</v>
      </c>
      <c r="D214" s="53">
        <f>+IFR!T214</f>
        <v>3.4565022398532332E-4</v>
      </c>
      <c r="E214" s="53">
        <f>+claims!R214</f>
        <v>1.4845335048794281E-4</v>
      </c>
      <c r="F214" s="53">
        <f>+costs!L214</f>
        <v>1.8445801785550698E-4</v>
      </c>
      <c r="H214" s="3">
        <f t="shared" si="20"/>
        <v>2.1489165094260975E-4</v>
      </c>
      <c r="J214" s="16">
        <f t="shared" si="21"/>
        <v>11084.017127779789</v>
      </c>
      <c r="L214" s="6">
        <f>+J214/payroll!F214</f>
        <v>3.8409583538797859E-3</v>
      </c>
      <c r="O214" s="40">
        <v>11114.274813272934</v>
      </c>
      <c r="P214" s="16">
        <f t="shared" si="18"/>
        <v>-30.257685493144891</v>
      </c>
      <c r="R214" s="55">
        <v>2.1489472513341326E-4</v>
      </c>
      <c r="S214" s="3">
        <f t="shared" si="19"/>
        <v>-3.074190803504552E-9</v>
      </c>
    </row>
    <row r="215" spans="1:19" outlineLevel="1">
      <c r="A215" t="s">
        <v>352</v>
      </c>
      <c r="B215" t="s">
        <v>353</v>
      </c>
      <c r="C215" s="53">
        <f>+payroll!G215</f>
        <v>1.7254870069743287E-4</v>
      </c>
      <c r="D215" s="53">
        <f>+IFR!T215</f>
        <v>2.0862775667656344E-4</v>
      </c>
      <c r="E215" s="53">
        <f>+claims!R215</f>
        <v>9.8968900325295198E-5</v>
      </c>
      <c r="F215" s="53">
        <f>+costs!L215</f>
        <v>6.639135343779209E-5</v>
      </c>
      <c r="H215" s="3">
        <f t="shared" si="20"/>
        <v>1.0232720428321907E-4</v>
      </c>
      <c r="J215" s="16">
        <f t="shared" si="21"/>
        <v>5277.9923274726334</v>
      </c>
      <c r="L215" s="6">
        <f>+J215/payroll!F215</f>
        <v>3.2853206897434815E-3</v>
      </c>
      <c r="O215" s="40">
        <v>5292.4307326447906</v>
      </c>
      <c r="P215" s="16">
        <f t="shared" si="18"/>
        <v>-14.438405172157218</v>
      </c>
      <c r="R215" s="55">
        <v>1.0232925374682313E-4</v>
      </c>
      <c r="S215" s="3">
        <f t="shared" si="19"/>
        <v>-2.0494636040612347E-9</v>
      </c>
    </row>
    <row r="216" spans="1:19" outlineLevel="1">
      <c r="A216" t="s">
        <v>354</v>
      </c>
      <c r="B216" t="s">
        <v>355</v>
      </c>
      <c r="C216" s="53">
        <f>+payroll!G216</f>
        <v>3.1400561410841803E-5</v>
      </c>
      <c r="D216" s="53">
        <f>+IFR!T216</f>
        <v>3.4476620806720226E-5</v>
      </c>
      <c r="E216" s="53">
        <f>+claims!R216</f>
        <v>0</v>
      </c>
      <c r="F216" s="53">
        <f>+costs!L216</f>
        <v>0</v>
      </c>
      <c r="H216" s="3">
        <f t="shared" si="20"/>
        <v>8.2346477771952528E-6</v>
      </c>
      <c r="J216" s="16">
        <f t="shared" si="21"/>
        <v>424.73952153702731</v>
      </c>
      <c r="L216" s="6">
        <f>+J216/payroll!F216</f>
        <v>1.4528004581146228E-3</v>
      </c>
      <c r="O216" s="40">
        <v>425.89290327823863</v>
      </c>
      <c r="P216" s="16">
        <f t="shared" si="18"/>
        <v>-1.1533817412113194</v>
      </c>
      <c r="R216" s="55">
        <v>8.2346477771946498E-6</v>
      </c>
      <c r="S216" s="3">
        <f t="shared" si="19"/>
        <v>6.0308745844506184E-19</v>
      </c>
    </row>
    <row r="217" spans="1:19" outlineLevel="1">
      <c r="A217" t="s">
        <v>356</v>
      </c>
      <c r="B217" t="s">
        <v>357</v>
      </c>
      <c r="C217" s="53">
        <f>+payroll!G217</f>
        <v>4.1103514946338821E-5</v>
      </c>
      <c r="D217" s="53">
        <f>+IFR!T217</f>
        <v>3.9780716315446414E-5</v>
      </c>
      <c r="E217" s="53">
        <f>+claims!R217</f>
        <v>0</v>
      </c>
      <c r="F217" s="53">
        <f>+costs!L217</f>
        <v>1.8849134774439099E-6</v>
      </c>
      <c r="H217" s="3">
        <f t="shared" si="20"/>
        <v>1.1241476994189499E-5</v>
      </c>
      <c r="J217" s="16">
        <f t="shared" si="21"/>
        <v>579.83045408504711</v>
      </c>
      <c r="L217" s="6">
        <f>+J217/payroll!F217</f>
        <v>1.515105125552758E-3</v>
      </c>
      <c r="O217" s="40">
        <v>581.40498582175849</v>
      </c>
      <c r="P217" s="16">
        <f t="shared" si="18"/>
        <v>-1.5745317367113785</v>
      </c>
      <c r="R217" s="55">
        <v>1.124147699408651E-5</v>
      </c>
      <c r="S217" s="3">
        <f t="shared" si="19"/>
        <v>1.0298904199075587E-16</v>
      </c>
    </row>
    <row r="218" spans="1:19" outlineLevel="1">
      <c r="A218" t="s">
        <v>358</v>
      </c>
      <c r="B218" t="s">
        <v>359</v>
      </c>
      <c r="C218" s="53">
        <f>+payroll!G218</f>
        <v>3.1911667400094548E-4</v>
      </c>
      <c r="D218" s="53">
        <f>+IFR!T218</f>
        <v>3.2310781807323697E-4</v>
      </c>
      <c r="E218" s="53">
        <f>+claims!R218</f>
        <v>9.8968900325295198E-5</v>
      </c>
      <c r="F218" s="53">
        <f>+costs!L218</f>
        <v>3.8074231125315481E-4</v>
      </c>
      <c r="H218" s="3">
        <f t="shared" si="20"/>
        <v>3.2356878330995996E-4</v>
      </c>
      <c r="J218" s="16">
        <f t="shared" si="21"/>
        <v>16689.53596145194</v>
      </c>
      <c r="L218" s="6">
        <f>+J218/payroll!F218</f>
        <v>5.6171428979898425E-3</v>
      </c>
      <c r="O218" s="40">
        <v>16734.962454675635</v>
      </c>
      <c r="P218" s="16">
        <f t="shared" si="18"/>
        <v>-45.426493223694706</v>
      </c>
      <c r="R218" s="55">
        <v>3.2357083275651752E-4</v>
      </c>
      <c r="S218" s="3">
        <f t="shared" si="19"/>
        <v>-2.0494465575570525E-9</v>
      </c>
    </row>
    <row r="219" spans="1:19" outlineLevel="1">
      <c r="A219" t="s">
        <v>360</v>
      </c>
      <c r="B219" t="s">
        <v>361</v>
      </c>
      <c r="C219" s="53">
        <f>+payroll!G219</f>
        <v>4.5870301166997617E-5</v>
      </c>
      <c r="D219" s="53">
        <f>+IFR!T219</f>
        <v>4.2432764069809507E-5</v>
      </c>
      <c r="E219" s="53">
        <f>+claims!R219</f>
        <v>0</v>
      </c>
      <c r="F219" s="53">
        <f>+costs!L219</f>
        <v>0</v>
      </c>
      <c r="H219" s="3">
        <f t="shared" si="20"/>
        <v>1.1037883154600891E-5</v>
      </c>
      <c r="J219" s="16">
        <f t="shared" si="21"/>
        <v>569.32917311292942</v>
      </c>
      <c r="L219" s="6">
        <f>+J219/payroll!F219</f>
        <v>1.3330687696117014E-3</v>
      </c>
      <c r="O219" s="40">
        <v>570.87518858761257</v>
      </c>
      <c r="P219" s="16">
        <f t="shared" si="18"/>
        <v>-1.5460154746831449</v>
      </c>
      <c r="R219" s="55">
        <v>1.1037883154600008E-5</v>
      </c>
      <c r="S219" s="3">
        <f t="shared" si="19"/>
        <v>8.8260833103898095E-19</v>
      </c>
    </row>
    <row r="220" spans="1:19" outlineLevel="1">
      <c r="A220" t="s">
        <v>362</v>
      </c>
      <c r="B220" t="s">
        <v>363</v>
      </c>
      <c r="C220" s="53">
        <f>+payroll!G220</f>
        <v>7.6574012230851032E-5</v>
      </c>
      <c r="D220" s="53">
        <f>+IFR!T220</f>
        <v>8.8843599771163659E-5</v>
      </c>
      <c r="E220" s="53">
        <f>+claims!R220</f>
        <v>0</v>
      </c>
      <c r="F220" s="53">
        <f>+costs!L220</f>
        <v>0</v>
      </c>
      <c r="H220" s="3">
        <f t="shared" si="20"/>
        <v>2.0677201500251836E-5</v>
      </c>
      <c r="J220" s="16">
        <f t="shared" si="21"/>
        <v>1066.5209866369039</v>
      </c>
      <c r="L220" s="6">
        <f>+J220/payroll!F220</f>
        <v>1.4959211758824439E-3</v>
      </c>
      <c r="O220" s="40">
        <v>1069.4171283195876</v>
      </c>
      <c r="P220" s="16">
        <f t="shared" si="18"/>
        <v>-2.8961416826837194</v>
      </c>
      <c r="R220" s="55">
        <v>2.0677201500250363E-5</v>
      </c>
      <c r="S220" s="3">
        <f t="shared" si="19"/>
        <v>1.4738373282224826E-18</v>
      </c>
    </row>
    <row r="221" spans="1:19" outlineLevel="1">
      <c r="A221" t="s">
        <v>364</v>
      </c>
      <c r="B221" t="s">
        <v>365</v>
      </c>
      <c r="C221" s="53">
        <f>+payroll!G221</f>
        <v>1.0503344766254867E-4</v>
      </c>
      <c r="D221" s="53">
        <f>+IFR!T221</f>
        <v>1.1757411711009718E-4</v>
      </c>
      <c r="E221" s="53">
        <f>+claims!R221</f>
        <v>0</v>
      </c>
      <c r="F221" s="53">
        <f>+costs!L221</f>
        <v>0</v>
      </c>
      <c r="H221" s="3">
        <f t="shared" si="20"/>
        <v>2.7825945596580731E-5</v>
      </c>
      <c r="J221" s="16">
        <f t="shared" si="21"/>
        <v>1435.2500724727495</v>
      </c>
      <c r="L221" s="6">
        <f>+J221/payroll!F221</f>
        <v>1.4676437985242064E-3</v>
      </c>
      <c r="O221" s="40">
        <v>1439.1474993513978</v>
      </c>
      <c r="P221" s="16">
        <f t="shared" si="18"/>
        <v>-3.8974268786482753</v>
      </c>
      <c r="R221" s="55">
        <v>2.7825945596578709E-5</v>
      </c>
      <c r="S221" s="3">
        <f t="shared" si="19"/>
        <v>2.0227146780432692E-18</v>
      </c>
    </row>
    <row r="222" spans="1:19" outlineLevel="1">
      <c r="A222" t="s">
        <v>366</v>
      </c>
      <c r="B222" t="s">
        <v>367</v>
      </c>
      <c r="C222" s="53">
        <f>+payroll!G222</f>
        <v>9.2302923690445703E-5</v>
      </c>
      <c r="D222" s="53">
        <f>+IFR!T222</f>
        <v>8.7517575893982115E-5</v>
      </c>
      <c r="E222" s="53">
        <f>+claims!R222</f>
        <v>0</v>
      </c>
      <c r="F222" s="53">
        <f>+costs!L222</f>
        <v>0</v>
      </c>
      <c r="H222" s="3">
        <f t="shared" si="20"/>
        <v>2.2477562448053479E-5</v>
      </c>
      <c r="J222" s="16">
        <f t="shared" si="21"/>
        <v>1159.3828148842406</v>
      </c>
      <c r="L222" s="6">
        <f>+J222/payroll!F222</f>
        <v>1.3490626192502117E-3</v>
      </c>
      <c r="O222" s="40">
        <v>1162.5311232048782</v>
      </c>
      <c r="P222" s="16">
        <f t="shared" si="18"/>
        <v>-3.148308320637625</v>
      </c>
      <c r="R222" s="55">
        <v>2.2477562448051697E-5</v>
      </c>
      <c r="S222" s="3">
        <f t="shared" si="19"/>
        <v>1.7821573210230479E-18</v>
      </c>
    </row>
    <row r="223" spans="1:19" outlineLevel="1">
      <c r="A223" t="s">
        <v>368</v>
      </c>
      <c r="B223" t="s">
        <v>369</v>
      </c>
      <c r="C223" s="53">
        <f>+payroll!G223</f>
        <v>3.5690873062506072E-5</v>
      </c>
      <c r="D223" s="53">
        <f>+IFR!T223</f>
        <v>4.5526819783233122E-5</v>
      </c>
      <c r="E223" s="53">
        <f>+claims!R223</f>
        <v>0</v>
      </c>
      <c r="F223" s="53">
        <f>+costs!L223</f>
        <v>0</v>
      </c>
      <c r="H223" s="3">
        <f t="shared" si="20"/>
        <v>1.0152211605717398E-5</v>
      </c>
      <c r="J223" s="16">
        <f t="shared" si="21"/>
        <v>523.64662297963639</v>
      </c>
      <c r="L223" s="6">
        <f>+J223/payroll!F223</f>
        <v>1.5758027096329807E-3</v>
      </c>
      <c r="O223" s="40">
        <v>525.06858732052774</v>
      </c>
      <c r="P223" s="16">
        <f t="shared" si="18"/>
        <v>-1.4219643408913498</v>
      </c>
      <c r="R223" s="55">
        <v>1.0152211605716711E-5</v>
      </c>
      <c r="S223" s="3">
        <f t="shared" si="19"/>
        <v>6.8779075317049188E-19</v>
      </c>
    </row>
    <row r="224" spans="1:19" outlineLevel="1">
      <c r="A224" t="s">
        <v>370</v>
      </c>
      <c r="B224" t="s">
        <v>371</v>
      </c>
      <c r="C224" s="53">
        <f>+payroll!G224</f>
        <v>6.5914087913789747E-4</v>
      </c>
      <c r="D224" s="53">
        <f>+IFR!T224</f>
        <v>9.0523230015593619E-4</v>
      </c>
      <c r="E224" s="53">
        <f>+claims!R224</f>
        <v>7.4226675243971405E-4</v>
      </c>
      <c r="F224" s="53">
        <f>+costs!L224</f>
        <v>4.6380582786631122E-4</v>
      </c>
      <c r="H224" s="3">
        <f t="shared" si="20"/>
        <v>5.8517015699747306E-4</v>
      </c>
      <c r="J224" s="16">
        <f t="shared" si="21"/>
        <v>30182.820106667517</v>
      </c>
      <c r="L224" s="6">
        <f>+J224/payroll!F224</f>
        <v>4.9181557260643194E-3</v>
      </c>
      <c r="O224" s="40">
        <v>30265.576647550195</v>
      </c>
      <c r="P224" s="16">
        <f t="shared" si="18"/>
        <v>-82.756540882677655</v>
      </c>
      <c r="R224" s="55">
        <v>5.8518552797636619E-4</v>
      </c>
      <c r="S224" s="3">
        <f t="shared" si="19"/>
        <v>-1.5370978893132145E-8</v>
      </c>
    </row>
    <row r="225" spans="1:19" outlineLevel="1">
      <c r="A225" t="s">
        <v>372</v>
      </c>
      <c r="B225" t="s">
        <v>373</v>
      </c>
      <c r="C225" s="53">
        <f>+payroll!G225</f>
        <v>1.0285812223351821E-4</v>
      </c>
      <c r="D225" s="53">
        <f>+IFR!T225</f>
        <v>1.149220693557341E-4</v>
      </c>
      <c r="E225" s="53">
        <f>+claims!R225</f>
        <v>4.9484450162647599E-5</v>
      </c>
      <c r="F225" s="53">
        <f>+costs!L225</f>
        <v>0</v>
      </c>
      <c r="H225" s="3">
        <f t="shared" si="20"/>
        <v>3.4645191473053678E-5</v>
      </c>
      <c r="J225" s="16">
        <f t="shared" si="21"/>
        <v>1786.9837846100995</v>
      </c>
      <c r="L225" s="6">
        <f>+J225/payroll!F225</f>
        <v>1.865961709573397E-3</v>
      </c>
      <c r="O225" s="40">
        <v>1791.8893445233466</v>
      </c>
      <c r="P225" s="16">
        <f t="shared" si="18"/>
        <v>-4.9055599132470888</v>
      </c>
      <c r="R225" s="55">
        <v>3.464621620665522E-5</v>
      </c>
      <c r="S225" s="3">
        <f t="shared" si="19"/>
        <v>-1.0247336015419494E-9</v>
      </c>
    </row>
    <row r="226" spans="1:19" outlineLevel="1">
      <c r="A226" t="s">
        <v>374</v>
      </c>
      <c r="B226" t="s">
        <v>375</v>
      </c>
      <c r="C226" s="53">
        <f>+payroll!G226</f>
        <v>4.7168990714762635E-5</v>
      </c>
      <c r="D226" s="53">
        <f>+IFR!T226</f>
        <v>4.7736859578535695E-5</v>
      </c>
      <c r="E226" s="53">
        <f>+claims!R226</f>
        <v>0</v>
      </c>
      <c r="F226" s="53">
        <f>+costs!L226</f>
        <v>0</v>
      </c>
      <c r="H226" s="3">
        <f t="shared" si="20"/>
        <v>1.1863231286662292E-5</v>
      </c>
      <c r="J226" s="16">
        <f t="shared" si="21"/>
        <v>611.9002678577541</v>
      </c>
      <c r="L226" s="6">
        <f>+J226/payroll!F226</f>
        <v>1.3933004173229788E-3</v>
      </c>
      <c r="O226" s="40">
        <v>613.56188529762562</v>
      </c>
      <c r="P226" s="16">
        <f t="shared" si="18"/>
        <v>-1.6616174398715202</v>
      </c>
      <c r="R226" s="55">
        <v>1.1863231286661384E-5</v>
      </c>
      <c r="S226" s="3">
        <f t="shared" si="19"/>
        <v>9.0801931945660996E-19</v>
      </c>
    </row>
    <row r="227" spans="1:19" outlineLevel="1">
      <c r="A227" t="s">
        <v>376</v>
      </c>
      <c r="B227" t="s">
        <v>377</v>
      </c>
      <c r="C227" s="53">
        <f>+payroll!G227</f>
        <v>5.307449710447423E-5</v>
      </c>
      <c r="D227" s="53">
        <f>+IFR!T227</f>
        <v>7.0279265490621996E-5</v>
      </c>
      <c r="E227" s="53">
        <f>+claims!R227</f>
        <v>0</v>
      </c>
      <c r="F227" s="53">
        <f>+costs!L227</f>
        <v>0</v>
      </c>
      <c r="H227" s="3">
        <f t="shared" si="20"/>
        <v>1.5419220324387026E-5</v>
      </c>
      <c r="J227" s="16">
        <f t="shared" si="21"/>
        <v>795.31662315796279</v>
      </c>
      <c r="L227" s="6">
        <f>+J227/payroll!F227</f>
        <v>1.6094403290927322E-3</v>
      </c>
      <c r="O227" s="40">
        <v>797.47630838884299</v>
      </c>
      <c r="P227" s="16">
        <f t="shared" si="18"/>
        <v>-2.1596852308801999</v>
      </c>
      <c r="R227" s="55">
        <v>1.5419220324386007E-5</v>
      </c>
      <c r="S227" s="3">
        <f t="shared" si="19"/>
        <v>1.0198276684941776E-18</v>
      </c>
    </row>
    <row r="228" spans="1:19" outlineLevel="1">
      <c r="A228" t="s">
        <v>378</v>
      </c>
      <c r="B228" t="s">
        <v>379</v>
      </c>
      <c r="C228" s="53">
        <f>+payroll!G228</f>
        <v>1.5736701585691834E-4</v>
      </c>
      <c r="D228" s="53">
        <f>+IFR!T228</f>
        <v>1.719410960745406E-4</v>
      </c>
      <c r="E228" s="53">
        <f>+claims!R228</f>
        <v>4.9484450162647599E-5</v>
      </c>
      <c r="F228" s="53">
        <f>+costs!L228</f>
        <v>0</v>
      </c>
      <c r="H228" s="3">
        <f t="shared" si="20"/>
        <v>4.8586181515829506E-5</v>
      </c>
      <c r="J228" s="16">
        <f t="shared" si="21"/>
        <v>2506.0539380317528</v>
      </c>
      <c r="L228" s="6">
        <f>+J228/payroll!F228</f>
        <v>1.7103989145791981E-3</v>
      </c>
      <c r="O228" s="40">
        <v>2512.912135605382</v>
      </c>
      <c r="P228" s="16">
        <f t="shared" si="18"/>
        <v>-6.8581975736292407</v>
      </c>
      <c r="R228" s="55">
        <v>4.8587206249429998E-5</v>
      </c>
      <c r="S228" s="3">
        <f t="shared" si="19"/>
        <v>-1.0247336004916285E-9</v>
      </c>
    </row>
    <row r="229" spans="1:19" outlineLevel="1">
      <c r="A229" t="s">
        <v>511</v>
      </c>
      <c r="B229" t="s">
        <v>512</v>
      </c>
      <c r="C229" s="53">
        <f>+payroll!G229</f>
        <v>2.0942051602581414E-5</v>
      </c>
      <c r="D229" s="53">
        <f>+IFR!T229</f>
        <v>2.6520477543630945E-5</v>
      </c>
      <c r="E229" s="53">
        <f>+claims!R229</f>
        <v>0</v>
      </c>
      <c r="F229" s="53">
        <f>+costs!L229</f>
        <v>0</v>
      </c>
      <c r="H229" s="3">
        <f>(C229*$C$3)+(D229*$D$3)+(E229*$E$3)+(F229*$F$3)</f>
        <v>5.9328161432765452E-6</v>
      </c>
      <c r="J229" s="16">
        <f>(+H229*$J$272)</f>
        <v>306.01205518965355</v>
      </c>
      <c r="L229" s="6">
        <f>+J229/payroll!F229</f>
        <v>1.5694230174987114E-3</v>
      </c>
      <c r="O229" s="40">
        <v>306.84303205700445</v>
      </c>
      <c r="P229" s="16">
        <f>+J229-O229</f>
        <v>-0.83097686735089837</v>
      </c>
      <c r="R229" s="55">
        <v>5.9328161432761412E-6</v>
      </c>
      <c r="S229" s="3">
        <f>+H229-R229</f>
        <v>4.0403471584030126E-19</v>
      </c>
    </row>
    <row r="230" spans="1:19" outlineLevel="1">
      <c r="A230" t="s">
        <v>380</v>
      </c>
      <c r="B230" t="s">
        <v>381</v>
      </c>
      <c r="C230" s="53">
        <f>+payroll!G230</f>
        <v>8.8714389460671562E-5</v>
      </c>
      <c r="D230" s="53">
        <f>+IFR!T230</f>
        <v>1.2022616486446028E-4</v>
      </c>
      <c r="E230" s="53">
        <f>+claims!R230</f>
        <v>1.4845335048794281E-4</v>
      </c>
      <c r="F230" s="53">
        <f>+costs!L230</f>
        <v>1.1152346004606543E-4</v>
      </c>
      <c r="H230" s="3">
        <f t="shared" si="20"/>
        <v>1.1529964789147216E-4</v>
      </c>
      <c r="J230" s="16">
        <f t="shared" si="21"/>
        <v>5947.1052804995297</v>
      </c>
      <c r="L230" s="6">
        <f>+J230/payroll!F230</f>
        <v>7.1999961845945403E-3</v>
      </c>
      <c r="O230" s="40">
        <v>5963.4136630819803</v>
      </c>
      <c r="P230" s="16">
        <f t="shared" ref="P230:P261" si="22">+J230-O230</f>
        <v>-16.308382582450577</v>
      </c>
      <c r="R230" s="55">
        <v>1.1530272208623435E-4</v>
      </c>
      <c r="S230" s="3">
        <f t="shared" ref="S230:S261" si="23">+H230-R230</f>
        <v>-3.0741947621977343E-9</v>
      </c>
    </row>
    <row r="231" spans="1:19" outlineLevel="1">
      <c r="A231" t="s">
        <v>382</v>
      </c>
      <c r="B231" t="s">
        <v>383</v>
      </c>
      <c r="C231" s="53">
        <f>+payroll!G231</f>
        <v>8.9378738482758774E-5</v>
      </c>
      <c r="D231" s="53">
        <f>+IFR!T231</f>
        <v>1.233202205778839E-4</v>
      </c>
      <c r="E231" s="53">
        <f>+claims!R231</f>
        <v>4.9484450162647599E-5</v>
      </c>
      <c r="F231" s="53">
        <f>+costs!L231</f>
        <v>5.3384646199220406E-6</v>
      </c>
      <c r="H231" s="3">
        <f t="shared" si="20"/>
        <v>3.7213116178930697E-5</v>
      </c>
      <c r="J231" s="16">
        <f t="shared" ref="J231:J261" si="24">(+H231*$J$272)</f>
        <v>1919.436214929932</v>
      </c>
      <c r="L231" s="6">
        <f>+J231/payroll!F231</f>
        <v>2.306535650139279E-3</v>
      </c>
      <c r="O231" s="40">
        <v>1924.7014498925096</v>
      </c>
      <c r="P231" s="16">
        <f t="shared" si="22"/>
        <v>-5.2652349625775514</v>
      </c>
      <c r="R231" s="55">
        <v>3.7214140912243055E-5</v>
      </c>
      <c r="S231" s="3">
        <f t="shared" si="23"/>
        <v>-1.0247333123581249E-9</v>
      </c>
    </row>
    <row r="232" spans="1:19" outlineLevel="1">
      <c r="A232" t="s">
        <v>384</v>
      </c>
      <c r="B232" t="s">
        <v>385</v>
      </c>
      <c r="C232" s="53">
        <f>+payroll!G232</f>
        <v>3.4719527122541367E-4</v>
      </c>
      <c r="D232" s="53">
        <f>+IFR!T232</f>
        <v>3.5183833541217047E-4</v>
      </c>
      <c r="E232" s="53">
        <f>+claims!R232</f>
        <v>9.8968900325295198E-5</v>
      </c>
      <c r="F232" s="53">
        <f>+costs!L232</f>
        <v>3.3226491019476534E-4</v>
      </c>
      <c r="H232" s="3">
        <f t="shared" ref="H232:H261" si="25">(C232*$C$3)+(D232*$D$3)+(E232*$E$3)+(F232*$F$3)</f>
        <v>3.0158348199535152E-4</v>
      </c>
      <c r="J232" s="16">
        <f t="shared" si="24"/>
        <v>15555.543759979211</v>
      </c>
      <c r="L232" s="6">
        <f>+J232/payroll!F232</f>
        <v>4.8120718468382248E-3</v>
      </c>
      <c r="O232" s="40">
        <v>15597.890893322688</v>
      </c>
      <c r="P232" s="16">
        <f t="shared" si="22"/>
        <v>-42.347133343477253</v>
      </c>
      <c r="R232" s="55">
        <v>3.0158553144453692E-4</v>
      </c>
      <c r="S232" s="3">
        <f t="shared" si="23"/>
        <v>-2.0494491853920681E-9</v>
      </c>
    </row>
    <row r="233" spans="1:19" s="50" customFormat="1" outlineLevel="1">
      <c r="A233" s="52" t="s">
        <v>564</v>
      </c>
      <c r="B233" s="52" t="s">
        <v>565</v>
      </c>
      <c r="C233" s="53">
        <f>+payroll!G233</f>
        <v>1.9360348538445105E-5</v>
      </c>
      <c r="D233" s="53">
        <f>+IFR!T233</f>
        <v>2.1216382034904754E-5</v>
      </c>
      <c r="E233" s="53">
        <f>+claims!R233</f>
        <v>0</v>
      </c>
      <c r="F233" s="53">
        <f>+costs!L233</f>
        <v>0</v>
      </c>
      <c r="H233" s="53">
        <f t="shared" si="25"/>
        <v>5.0720913216687328E-6</v>
      </c>
      <c r="J233" s="16">
        <f t="shared" si="24"/>
        <v>261.6162463103496</v>
      </c>
      <c r="L233" s="54">
        <f>+J233/payroll!F233</f>
        <v>1.4513502968871285E-3</v>
      </c>
      <c r="O233" s="40">
        <v>262.32666619453329</v>
      </c>
      <c r="P233" s="56">
        <f t="shared" si="22"/>
        <v>-0.71041988418369328</v>
      </c>
      <c r="Q233" s="57"/>
      <c r="R233" s="55">
        <v>5.0720913216683601E-6</v>
      </c>
      <c r="S233" s="3">
        <f t="shared" si="23"/>
        <v>3.7269449679189215E-19</v>
      </c>
    </row>
    <row r="234" spans="1:19" outlineLevel="1">
      <c r="A234" t="s">
        <v>386</v>
      </c>
      <c r="B234" t="s">
        <v>387</v>
      </c>
      <c r="C234" s="53">
        <f>+payroll!G234</f>
        <v>5.2257726001894932E-5</v>
      </c>
      <c r="D234" s="53">
        <f>+IFR!T234</f>
        <v>5.3040955087261889E-5</v>
      </c>
      <c r="E234" s="53">
        <f>+claims!R234</f>
        <v>0</v>
      </c>
      <c r="F234" s="53">
        <f>+costs!L234</f>
        <v>0</v>
      </c>
      <c r="H234" s="3">
        <f t="shared" si="25"/>
        <v>1.3162335136144602E-5</v>
      </c>
      <c r="J234" s="16">
        <f t="shared" si="24"/>
        <v>678.90747477000468</v>
      </c>
      <c r="L234" s="6">
        <f>+J234/payroll!F234</f>
        <v>1.3953423971415069E-3</v>
      </c>
      <c r="O234" s="40">
        <v>680.75105052800586</v>
      </c>
      <c r="P234" s="16">
        <f t="shared" si="22"/>
        <v>-1.8435757580011796</v>
      </c>
      <c r="R234" s="55">
        <v>1.3162335136143596E-5</v>
      </c>
      <c r="S234" s="3">
        <f t="shared" si="23"/>
        <v>1.0062751413381088E-18</v>
      </c>
    </row>
    <row r="235" spans="1:19" outlineLevel="1">
      <c r="A235" t="s">
        <v>388</v>
      </c>
      <c r="B235" t="s">
        <v>389</v>
      </c>
      <c r="C235" s="53">
        <f>+payroll!G235</f>
        <v>7.6269174466688463E-5</v>
      </c>
      <c r="D235" s="53">
        <f>+IFR!T235</f>
        <v>6.8953241613440452E-5</v>
      </c>
      <c r="E235" s="53">
        <f>+claims!R235</f>
        <v>0</v>
      </c>
      <c r="F235" s="53">
        <f>+costs!L235</f>
        <v>0</v>
      </c>
      <c r="H235" s="3">
        <f t="shared" si="25"/>
        <v>1.8152802010016116E-5</v>
      </c>
      <c r="J235" s="16">
        <f t="shared" si="24"/>
        <v>936.31356785447781</v>
      </c>
      <c r="L235" s="6">
        <f>+J235/payroll!F235</f>
        <v>1.3185389957591734E-3</v>
      </c>
      <c r="O235" s="40">
        <v>938.85613081000577</v>
      </c>
      <c r="P235" s="16">
        <f t="shared" si="22"/>
        <v>-2.5425629555279556</v>
      </c>
      <c r="R235" s="55">
        <v>1.8152802010014646E-5</v>
      </c>
      <c r="S235" s="3">
        <f t="shared" si="23"/>
        <v>1.4704491964334654E-18</v>
      </c>
    </row>
    <row r="236" spans="1:19" outlineLevel="1">
      <c r="A236" t="s">
        <v>390</v>
      </c>
      <c r="B236" t="s">
        <v>391</v>
      </c>
      <c r="C236" s="53">
        <f>+payroll!G236</f>
        <v>3.5192789697702166E-5</v>
      </c>
      <c r="D236" s="53">
        <f>+IFR!T236</f>
        <v>4.1106740192627964E-5</v>
      </c>
      <c r="E236" s="53">
        <f>+claims!R236</f>
        <v>0</v>
      </c>
      <c r="F236" s="53">
        <f>+costs!L236</f>
        <v>7.5680283683746806E-7</v>
      </c>
      <c r="H236" s="3">
        <f t="shared" si="25"/>
        <v>9.9915229383937458E-6</v>
      </c>
      <c r="J236" s="16">
        <f t="shared" si="24"/>
        <v>515.35837197945614</v>
      </c>
      <c r="L236" s="6">
        <f>+J236/payroll!F236</f>
        <v>1.5728103151332782E-3</v>
      </c>
      <c r="O236" s="40">
        <v>516.75782954198837</v>
      </c>
      <c r="P236" s="16">
        <f t="shared" si="22"/>
        <v>-1.3994575625322341</v>
      </c>
      <c r="R236" s="55">
        <v>9.9915229383520362E-6</v>
      </c>
      <c r="S236" s="3">
        <f t="shared" si="23"/>
        <v>4.1709596388696257E-17</v>
      </c>
    </row>
    <row r="237" spans="1:19" outlineLevel="1">
      <c r="A237" t="s">
        <v>392</v>
      </c>
      <c r="B237" t="s">
        <v>393</v>
      </c>
      <c r="C237" s="53">
        <f>+payroll!G237</f>
        <v>2.2985972537893287E-4</v>
      </c>
      <c r="D237" s="53">
        <f>+IFR!T237</f>
        <v>3.2222380215511594E-4</v>
      </c>
      <c r="E237" s="53">
        <f>+claims!R237</f>
        <v>8.8551121343685192E-4</v>
      </c>
      <c r="F237" s="53">
        <f>+costs!L237</f>
        <v>1.5492463431527944E-4</v>
      </c>
      <c r="H237" s="3">
        <f t="shared" si="25"/>
        <v>2.9479190354645156E-4</v>
      </c>
      <c r="J237" s="16">
        <f t="shared" si="24"/>
        <v>15205.237121624185</v>
      </c>
      <c r="L237" s="6">
        <f>+J237/payroll!F237</f>
        <v>7.1047863271456214E-3</v>
      </c>
      <c r="O237" s="40">
        <v>15247.475399087785</v>
      </c>
      <c r="P237" s="16">
        <f t="shared" si="22"/>
        <v>-42.238277463600753</v>
      </c>
      <c r="R237" s="55">
        <v>2.9481024087621563E-4</v>
      </c>
      <c r="S237" s="3">
        <f t="shared" si="23"/>
        <v>-1.833732976406913E-8</v>
      </c>
    </row>
    <row r="238" spans="1:19" outlineLevel="1">
      <c r="A238" t="s">
        <v>394</v>
      </c>
      <c r="B238" t="s">
        <v>395</v>
      </c>
      <c r="C238" s="53">
        <f>+payroll!G238</f>
        <v>4.2848302214340616E-5</v>
      </c>
      <c r="D238" s="53">
        <f>+IFR!T238</f>
        <v>5.7461034677867048E-5</v>
      </c>
      <c r="E238" s="53">
        <f>+claims!R238</f>
        <v>0</v>
      </c>
      <c r="F238" s="53">
        <f>+costs!L238</f>
        <v>0</v>
      </c>
      <c r="H238" s="3">
        <f t="shared" si="25"/>
        <v>1.2538667111525957E-5</v>
      </c>
      <c r="J238" s="16">
        <f t="shared" si="24"/>
        <v>646.73895153236708</v>
      </c>
      <c r="L238" s="6">
        <f>+J238/payroll!F238</f>
        <v>1.6211235219895355E-3</v>
      </c>
      <c r="O238" s="40">
        <v>648.49517354658019</v>
      </c>
      <c r="P238" s="16">
        <f t="shared" si="22"/>
        <v>-1.7562220142131082</v>
      </c>
      <c r="R238" s="55">
        <v>1.2538667111525134E-5</v>
      </c>
      <c r="S238" s="3">
        <f t="shared" si="23"/>
        <v>8.2331602473117993E-19</v>
      </c>
    </row>
    <row r="239" spans="1:19" outlineLevel="1">
      <c r="A239" t="s">
        <v>396</v>
      </c>
      <c r="B239" t="s">
        <v>397</v>
      </c>
      <c r="C239" s="53">
        <f>+payroll!G239</f>
        <v>2.5947478932614464E-4</v>
      </c>
      <c r="D239" s="53">
        <f>+IFR!T239</f>
        <v>3.2885392154102371E-4</v>
      </c>
      <c r="E239" s="53">
        <f>+claims!R239</f>
        <v>2.4742225081323798E-4</v>
      </c>
      <c r="F239" s="53">
        <f>+costs!L239</f>
        <v>5.0336379919215839E-5</v>
      </c>
      <c r="H239" s="3">
        <f t="shared" si="25"/>
        <v>1.4085625443191124E-4</v>
      </c>
      <c r="J239" s="16">
        <f t="shared" si="24"/>
        <v>7265.3038395389758</v>
      </c>
      <c r="L239" s="6">
        <f>+J239/payroll!F239</f>
        <v>3.0073177734477024E-3</v>
      </c>
      <c r="O239" s="40">
        <v>7285.2977930314992</v>
      </c>
      <c r="P239" s="16">
        <f t="shared" si="22"/>
        <v>-19.99395349252336</v>
      </c>
      <c r="R239" s="55">
        <v>1.4086137809719466E-4</v>
      </c>
      <c r="S239" s="3">
        <f t="shared" si="23"/>
        <v>-5.1236652834146194E-9</v>
      </c>
    </row>
    <row r="240" spans="1:19" outlineLevel="1">
      <c r="A240" t="s">
        <v>398</v>
      </c>
      <c r="B240" t="s">
        <v>399</v>
      </c>
      <c r="C240" s="53">
        <f>+payroll!G240</f>
        <v>1.1404218236072432E-4</v>
      </c>
      <c r="D240" s="53">
        <f>+IFR!T240</f>
        <v>1.2199419670070234E-4</v>
      </c>
      <c r="E240" s="53">
        <f>+claims!R240</f>
        <v>0</v>
      </c>
      <c r="F240" s="53">
        <f>+costs!L240</f>
        <v>0</v>
      </c>
      <c r="H240" s="3">
        <f t="shared" si="25"/>
        <v>2.9504547382678332E-5</v>
      </c>
      <c r="J240" s="16">
        <f t="shared" si="24"/>
        <v>1521.8316165495664</v>
      </c>
      <c r="L240" s="6">
        <f>+J240/payroll!F240</f>
        <v>1.4332494719414368E-3</v>
      </c>
      <c r="O240" s="40">
        <v>1525.9641559312886</v>
      </c>
      <c r="P240" s="16">
        <f t="shared" si="22"/>
        <v>-4.1325393817221538</v>
      </c>
      <c r="R240" s="55">
        <v>2.9504547382676137E-5</v>
      </c>
      <c r="S240" s="3">
        <f t="shared" si="23"/>
        <v>2.1955093992831465E-18</v>
      </c>
    </row>
    <row r="241" spans="1:19" outlineLevel="1">
      <c r="A241" t="s">
        <v>400</v>
      </c>
      <c r="B241" t="s">
        <v>401</v>
      </c>
      <c r="C241" s="53">
        <f>+payroll!G241</f>
        <v>1.6900765772199526E-3</v>
      </c>
      <c r="D241" s="53">
        <f>+IFR!T241</f>
        <v>1.8206307833702642E-3</v>
      </c>
      <c r="E241" s="53">
        <f>+claims!R241</f>
        <v>1.2371112540661901E-3</v>
      </c>
      <c r="F241" s="53">
        <f>+costs!L241</f>
        <v>6.9289000139475393E-4</v>
      </c>
      <c r="H241" s="3">
        <f t="shared" si="25"/>
        <v>1.040139109020558E-3</v>
      </c>
      <c r="J241" s="16">
        <f t="shared" si="24"/>
        <v>53649.919152682465</v>
      </c>
      <c r="L241" s="6">
        <f>+J241/payroll!F241</f>
        <v>3.4094427039457714E-3</v>
      </c>
      <c r="O241" s="40">
        <v>53796.930675539916</v>
      </c>
      <c r="P241" s="16">
        <f t="shared" si="22"/>
        <v>-147.01152285745047</v>
      </c>
      <c r="R241" s="55">
        <v>1.0401647273230459E-3</v>
      </c>
      <c r="S241" s="3">
        <f t="shared" si="23"/>
        <v>-2.5618302487836683E-8</v>
      </c>
    </row>
    <row r="242" spans="1:19" outlineLevel="1">
      <c r="A242" t="s">
        <v>402</v>
      </c>
      <c r="B242" t="s">
        <v>403</v>
      </c>
      <c r="C242" s="53">
        <f>+payroll!G242</f>
        <v>4.1028260036244632E-4</v>
      </c>
      <c r="D242" s="53">
        <f>+IFR!T242</f>
        <v>4.9593293006589868E-4</v>
      </c>
      <c r="E242" s="53">
        <f>+claims!R242</f>
        <v>1.979378006505904E-4</v>
      </c>
      <c r="F242" s="53">
        <f>+costs!L242</f>
        <v>2.1295211907615627E-4</v>
      </c>
      <c r="H242" s="3">
        <f t="shared" si="25"/>
        <v>2.7073888284682545E-4</v>
      </c>
      <c r="J242" s="16">
        <f t="shared" si="24"/>
        <v>13964.592860946517</v>
      </c>
      <c r="L242" s="6">
        <f>+J242/payroll!F242</f>
        <v>3.6556607551222553E-3</v>
      </c>
      <c r="O242" s="40">
        <v>14002.72575925296</v>
      </c>
      <c r="P242" s="16">
        <f t="shared" si="22"/>
        <v>-38.132898306443167</v>
      </c>
      <c r="R242" s="55">
        <v>2.7074298176968565E-4</v>
      </c>
      <c r="S242" s="3">
        <f t="shared" si="23"/>
        <v>-4.0989228602007072E-9</v>
      </c>
    </row>
    <row r="243" spans="1:19" outlineLevel="1">
      <c r="A243" t="s">
        <v>404</v>
      </c>
      <c r="B243" t="s">
        <v>405</v>
      </c>
      <c r="C243" s="53">
        <f>+payroll!G243</f>
        <v>1.0042257273315449E-4</v>
      </c>
      <c r="D243" s="53">
        <f>+IFR!T243</f>
        <v>1.604488891389672E-4</v>
      </c>
      <c r="E243" s="53">
        <f>+claims!R243</f>
        <v>4.9484450162647599E-5</v>
      </c>
      <c r="F243" s="53">
        <f>+costs!L243</f>
        <v>1.803495046877873E-6</v>
      </c>
      <c r="H243" s="3">
        <f t="shared" si="25"/>
        <v>4.1113697286539073E-5</v>
      </c>
      <c r="J243" s="16">
        <f t="shared" si="24"/>
        <v>2120.6264780945621</v>
      </c>
      <c r="L243" s="6">
        <f>+J243/payroll!F243</f>
        <v>2.2680548010375538E-3</v>
      </c>
      <c r="O243" s="40">
        <v>2126.4380459705822</v>
      </c>
      <c r="P243" s="16">
        <f t="shared" si="22"/>
        <v>-5.8115678760200353</v>
      </c>
      <c r="R243" s="55">
        <v>4.1114722020042875E-5</v>
      </c>
      <c r="S243" s="3">
        <f t="shared" si="23"/>
        <v>-1.0247335038011235E-9</v>
      </c>
    </row>
    <row r="244" spans="1:19" outlineLevel="1">
      <c r="A244" t="s">
        <v>406</v>
      </c>
      <c r="B244" t="s">
        <v>407</v>
      </c>
      <c r="C244" s="53">
        <f>+payroll!G244</f>
        <v>6.5799844998820644E-4</v>
      </c>
      <c r="D244" s="53">
        <f>+IFR!T244</f>
        <v>1.01131421033046E-3</v>
      </c>
      <c r="E244" s="53">
        <f>+claims!R244</f>
        <v>6.4329785211441877E-4</v>
      </c>
      <c r="F244" s="53">
        <f>+costs!L244</f>
        <v>1.8943448221699668E-4</v>
      </c>
      <c r="H244" s="3">
        <f t="shared" si="25"/>
        <v>4.1881944968719413E-4</v>
      </c>
      <c r="J244" s="16">
        <f t="shared" si="24"/>
        <v>21602.52356672498</v>
      </c>
      <c r="L244" s="6">
        <f>+J244/payroll!F244</f>
        <v>3.5261462781992548E-3</v>
      </c>
      <c r="O244" s="40">
        <v>21661.874283719044</v>
      </c>
      <c r="P244" s="16">
        <f t="shared" si="22"/>
        <v>-59.350716994063987</v>
      </c>
      <c r="R244" s="55">
        <v>4.1883277121375633E-4</v>
      </c>
      <c r="S244" s="3">
        <f t="shared" si="23"/>
        <v>-1.3321526562198524E-8</v>
      </c>
    </row>
    <row r="245" spans="1:19" outlineLevel="1">
      <c r="A245" t="s">
        <v>408</v>
      </c>
      <c r="B245" t="s">
        <v>409</v>
      </c>
      <c r="C245" s="53">
        <f>+payroll!G245</f>
        <v>1.235721837213368E-3</v>
      </c>
      <c r="D245" s="53">
        <f>+IFR!T245</f>
        <v>1.3596164820701463E-3</v>
      </c>
      <c r="E245" s="53">
        <f>+claims!R245</f>
        <v>1.4845335048794281E-4</v>
      </c>
      <c r="F245" s="53">
        <f>+costs!L245</f>
        <v>5.4354257475550688E-5</v>
      </c>
      <c r="H245" s="3">
        <f t="shared" si="25"/>
        <v>3.7929784696896118E-4</v>
      </c>
      <c r="J245" s="16">
        <f t="shared" si="24"/>
        <v>19564.0166283461</v>
      </c>
      <c r="L245" s="6">
        <f>+J245/payroll!F245</f>
        <v>1.7004270671134288E-3</v>
      </c>
      <c r="O245" s="40">
        <v>19617.301784202424</v>
      </c>
      <c r="P245" s="16">
        <f t="shared" si="22"/>
        <v>-53.285155856323399</v>
      </c>
      <c r="R245" s="55">
        <v>3.7930092116680088E-4</v>
      </c>
      <c r="S245" s="3">
        <f t="shared" si="23"/>
        <v>-3.0741978397056009E-9</v>
      </c>
    </row>
    <row r="246" spans="1:19" outlineLevel="1">
      <c r="A246" t="s">
        <v>410</v>
      </c>
      <c r="B246" t="s">
        <v>411</v>
      </c>
      <c r="C246" s="53">
        <f>+payroll!G246</f>
        <v>2.2275124350994287E-5</v>
      </c>
      <c r="D246" s="53">
        <f>+IFR!T246</f>
        <v>3.0056541216115071E-5</v>
      </c>
      <c r="E246" s="53">
        <f>+claims!R246</f>
        <v>0</v>
      </c>
      <c r="F246" s="53">
        <f>+costs!L246</f>
        <v>0</v>
      </c>
      <c r="H246" s="3">
        <f t="shared" si="25"/>
        <v>6.5414581958886697E-6</v>
      </c>
      <c r="J246" s="16">
        <f t="shared" si="24"/>
        <v>337.40554537993324</v>
      </c>
      <c r="L246" s="6">
        <f>+J246/payroll!F246</f>
        <v>1.6268697593661218E-3</v>
      </c>
      <c r="O246" s="40">
        <v>338.32177138597456</v>
      </c>
      <c r="P246" s="16">
        <f t="shared" si="22"/>
        <v>-0.91622600604131321</v>
      </c>
      <c r="R246" s="55">
        <v>6.5414581958882411E-6</v>
      </c>
      <c r="S246" s="3">
        <f t="shared" si="23"/>
        <v>4.2859867131067597E-19</v>
      </c>
    </row>
    <row r="247" spans="1:19" outlineLevel="1">
      <c r="A247" t="s">
        <v>412</v>
      </c>
      <c r="B247" t="s">
        <v>413</v>
      </c>
      <c r="C247" s="53">
        <f>+payroll!G247</f>
        <v>6.3507264909276969E-5</v>
      </c>
      <c r="D247" s="53">
        <f>+IFR!T247</f>
        <v>6.5417177940956336E-5</v>
      </c>
      <c r="E247" s="53">
        <f>+claims!R247</f>
        <v>0</v>
      </c>
      <c r="F247" s="53">
        <f>+costs!L247</f>
        <v>0</v>
      </c>
      <c r="H247" s="3">
        <f t="shared" si="25"/>
        <v>1.6115555356279163E-5</v>
      </c>
      <c r="J247" s="16">
        <f t="shared" si="24"/>
        <v>831.23327876701103</v>
      </c>
      <c r="L247" s="6">
        <f>+J247/payroll!F247</f>
        <v>1.4057892577789869E-3</v>
      </c>
      <c r="O247" s="40">
        <v>833.49049580899202</v>
      </c>
      <c r="P247" s="16">
        <f t="shared" si="22"/>
        <v>-2.2572170419809936</v>
      </c>
      <c r="R247" s="55">
        <v>1.6115555356277943E-5</v>
      </c>
      <c r="S247" s="3">
        <f t="shared" si="23"/>
        <v>1.2197274440461925E-18</v>
      </c>
    </row>
    <row r="248" spans="1:19" outlineLevel="1">
      <c r="A248" t="s">
        <v>414</v>
      </c>
      <c r="B248" t="s">
        <v>415</v>
      </c>
      <c r="C248" s="53">
        <f>+payroll!G248</f>
        <v>1.9867062749652666E-4</v>
      </c>
      <c r="D248" s="53">
        <f>+IFR!T248</f>
        <v>3.0321745991551376E-4</v>
      </c>
      <c r="E248" s="53">
        <f>+claims!R248</f>
        <v>3.9587560130118079E-4</v>
      </c>
      <c r="F248" s="53">
        <f>+costs!L248</f>
        <v>1.0665868622861527E-4</v>
      </c>
      <c r="H248" s="3">
        <f t="shared" si="25"/>
        <v>1.8611256285885132E-4</v>
      </c>
      <c r="J248" s="16">
        <f t="shared" si="24"/>
        <v>9599.6043837618636</v>
      </c>
      <c r="L248" s="6">
        <f>+J248/payroll!F248</f>
        <v>5.1896776066482613E-3</v>
      </c>
      <c r="O248" s="40">
        <v>9626.0961353717848</v>
      </c>
      <c r="P248" s="16">
        <f t="shared" si="22"/>
        <v>-26.491751609921266</v>
      </c>
      <c r="R248" s="55">
        <v>1.8612076072189277E-4</v>
      </c>
      <c r="S248" s="3">
        <f t="shared" si="23"/>
        <v>-8.1978630414526917E-9</v>
      </c>
    </row>
    <row r="249" spans="1:19" outlineLevel="1">
      <c r="A249" t="s">
        <v>416</v>
      </c>
      <c r="B249" t="s">
        <v>417</v>
      </c>
      <c r="C249" s="53">
        <f>+payroll!G249</f>
        <v>3.4660773362024204E-5</v>
      </c>
      <c r="D249" s="53">
        <f>+IFR!T249</f>
        <v>5.1272923251019818E-5</v>
      </c>
      <c r="E249" s="53">
        <f>+claims!R249</f>
        <v>0</v>
      </c>
      <c r="F249" s="53">
        <f>+costs!L249</f>
        <v>0</v>
      </c>
      <c r="H249" s="3">
        <f t="shared" si="25"/>
        <v>1.0741712076630504E-5</v>
      </c>
      <c r="J249" s="16">
        <f t="shared" si="24"/>
        <v>554.05279877927285</v>
      </c>
      <c r="L249" s="6">
        <f>+J249/payroll!F249</f>
        <v>1.7168549777375984E-3</v>
      </c>
      <c r="O249" s="40">
        <v>555.5573312029785</v>
      </c>
      <c r="P249" s="16">
        <f t="shared" si="22"/>
        <v>-1.5045324237056548</v>
      </c>
      <c r="R249" s="55">
        <v>1.0741712076629836E-5</v>
      </c>
      <c r="S249" s="3">
        <f t="shared" si="23"/>
        <v>6.6746196243638867E-19</v>
      </c>
    </row>
    <row r="250" spans="1:19" outlineLevel="1">
      <c r="A250" t="s">
        <v>418</v>
      </c>
      <c r="B250" t="s">
        <v>419</v>
      </c>
      <c r="C250" s="53">
        <f>+payroll!G250</f>
        <v>4.9923584623648445E-5</v>
      </c>
      <c r="D250" s="53">
        <f>+IFR!T250</f>
        <v>6.6301193859077351E-5</v>
      </c>
      <c r="E250" s="53">
        <f>+claims!R250</f>
        <v>0</v>
      </c>
      <c r="F250" s="53">
        <f>+costs!L250</f>
        <v>0</v>
      </c>
      <c r="H250" s="3">
        <f t="shared" si="25"/>
        <v>1.4528097310340725E-5</v>
      </c>
      <c r="J250" s="16">
        <f t="shared" si="24"/>
        <v>749.35288884198496</v>
      </c>
      <c r="L250" s="6">
        <f>+J250/payroll!F250</f>
        <v>1.6121347237420271E-3</v>
      </c>
      <c r="O250" s="40">
        <v>751.38775938237848</v>
      </c>
      <c r="P250" s="16">
        <f t="shared" si="22"/>
        <v>-2.0348705403935128</v>
      </c>
      <c r="R250" s="55">
        <v>1.4528097310339762E-5</v>
      </c>
      <c r="S250" s="3">
        <f t="shared" si="23"/>
        <v>9.6222942808088519E-19</v>
      </c>
    </row>
    <row r="251" spans="1:19" outlineLevel="1">
      <c r="A251" t="s">
        <v>420</v>
      </c>
      <c r="B251" t="s">
        <v>421</v>
      </c>
      <c r="C251" s="53">
        <f>+payroll!G251</f>
        <v>3.0094342751391828E-4</v>
      </c>
      <c r="D251" s="53">
        <f>+IFR!T251</f>
        <v>3.1691970664638977E-4</v>
      </c>
      <c r="E251" s="53">
        <f>+claims!R251</f>
        <v>4.9484450162647599E-5</v>
      </c>
      <c r="F251" s="53">
        <f>+costs!L251</f>
        <v>0</v>
      </c>
      <c r="H251" s="3">
        <f t="shared" si="25"/>
        <v>8.4655559294435643E-5</v>
      </c>
      <c r="J251" s="16">
        <f t="shared" si="24"/>
        <v>4366.4966277907952</v>
      </c>
      <c r="L251" s="6">
        <f>+J251/payroll!F251</f>
        <v>1.5583642394612018E-3</v>
      </c>
      <c r="O251" s="40">
        <v>4378.4068643674591</v>
      </c>
      <c r="P251" s="16">
        <f t="shared" si="22"/>
        <v>-11.91023657666392</v>
      </c>
      <c r="R251" s="55">
        <v>8.465658402803337E-5</v>
      </c>
      <c r="S251" s="3">
        <f t="shared" si="23"/>
        <v>-1.024733597726913E-9</v>
      </c>
    </row>
    <row r="252" spans="1:19" outlineLevel="1">
      <c r="A252" t="s">
        <v>422</v>
      </c>
      <c r="B252" t="s">
        <v>423</v>
      </c>
      <c r="C252" s="53">
        <f>+payroll!G252</f>
        <v>1.2317741848076597E-4</v>
      </c>
      <c r="D252" s="53">
        <f>+IFR!T252</f>
        <v>1.4763065832621225E-4</v>
      </c>
      <c r="E252" s="53">
        <f>+claims!R252</f>
        <v>0</v>
      </c>
      <c r="F252" s="53">
        <f>+costs!L252</f>
        <v>2.3704357062354488E-5</v>
      </c>
      <c r="H252" s="3">
        <f t="shared" si="25"/>
        <v>4.807362383828497E-5</v>
      </c>
      <c r="J252" s="16">
        <f t="shared" si="24"/>
        <v>2479.6164377754217</v>
      </c>
      <c r="L252" s="6">
        <f>+J252/payroll!F252</f>
        <v>2.1620917329996511E-3</v>
      </c>
      <c r="O252" s="40">
        <v>2486.3498453141892</v>
      </c>
      <c r="P252" s="16">
        <f t="shared" si="22"/>
        <v>-6.7334075387675512</v>
      </c>
      <c r="R252" s="55">
        <v>4.8073623836997372E-5</v>
      </c>
      <c r="S252" s="3">
        <f t="shared" si="23"/>
        <v>1.2875985000437851E-15</v>
      </c>
    </row>
    <row r="253" spans="1:19" outlineLevel="1">
      <c r="A253" t="s">
        <v>424</v>
      </c>
      <c r="B253" t="s">
        <v>425</v>
      </c>
      <c r="C253" s="53">
        <f>+payroll!G253</f>
        <v>2.1743761248299104E-4</v>
      </c>
      <c r="D253" s="53">
        <f>+IFR!T253</f>
        <v>2.8686316543027472E-4</v>
      </c>
      <c r="E253" s="53">
        <f>+claims!R253</f>
        <v>2.4742225081323798E-4</v>
      </c>
      <c r="F253" s="53">
        <f>+costs!L253</f>
        <v>5.2534343195782861E-4</v>
      </c>
      <c r="H253" s="3">
        <f t="shared" si="25"/>
        <v>4.1535699403584108E-4</v>
      </c>
      <c r="J253" s="16">
        <f t="shared" si="24"/>
        <v>21423.931622480366</v>
      </c>
      <c r="L253" s="6">
        <f>+J253/payroll!F253</f>
        <v>1.0582425270942273E-2</v>
      </c>
      <c r="O253" s="40">
        <v>21482.37338073818</v>
      </c>
      <c r="P253" s="16">
        <f t="shared" si="22"/>
        <v>-58.44175825781349</v>
      </c>
      <c r="R253" s="55">
        <v>4.1536211767537103E-4</v>
      </c>
      <c r="S253" s="3">
        <f t="shared" si="23"/>
        <v>-5.1236395299538405E-9</v>
      </c>
    </row>
    <row r="254" spans="1:19" outlineLevel="1">
      <c r="A254" t="s">
        <v>426</v>
      </c>
      <c r="B254" t="s">
        <v>427</v>
      </c>
      <c r="C254" s="53">
        <f>+payroll!G254</f>
        <v>9.9026547938048921E-6</v>
      </c>
      <c r="D254" s="53">
        <f>+IFR!T254</f>
        <v>1.5912286526178566E-5</v>
      </c>
      <c r="E254" s="53">
        <f>+claims!R254</f>
        <v>0</v>
      </c>
      <c r="F254" s="53">
        <f>+costs!L254</f>
        <v>0</v>
      </c>
      <c r="H254" s="3">
        <f t="shared" si="25"/>
        <v>3.2268676649979323E-6</v>
      </c>
      <c r="J254" s="16">
        <f t="shared" si="24"/>
        <v>166.44041921139092</v>
      </c>
      <c r="L254" s="6">
        <f>+J254/payroll!F254</f>
        <v>1.805210573811015E-3</v>
      </c>
      <c r="O254" s="40">
        <v>166.89238878517648</v>
      </c>
      <c r="P254" s="16">
        <f t="shared" si="22"/>
        <v>-0.45196957378556135</v>
      </c>
      <c r="R254" s="55">
        <v>3.2268676649977417E-6</v>
      </c>
      <c r="S254" s="3">
        <f t="shared" si="23"/>
        <v>1.9058241313221758E-19</v>
      </c>
    </row>
    <row r="255" spans="1:19" outlineLevel="1">
      <c r="A255" t="s">
        <v>428</v>
      </c>
      <c r="B255" t="s">
        <v>429</v>
      </c>
      <c r="C255" s="53">
        <f>+payroll!G255</f>
        <v>1.0516216310965567E-4</v>
      </c>
      <c r="D255" s="53">
        <f>+IFR!T255</f>
        <v>1.326023877181547E-4</v>
      </c>
      <c r="E255" s="53">
        <f>+claims!R255</f>
        <v>9.8968900325295198E-5</v>
      </c>
      <c r="F255" s="53">
        <f>+costs!L255</f>
        <v>7.951445017533053E-6</v>
      </c>
      <c r="H255" s="3">
        <f t="shared" si="25"/>
        <v>4.9336770912790408E-5</v>
      </c>
      <c r="J255" s="16">
        <f t="shared" si="24"/>
        <v>2544.7690100010518</v>
      </c>
      <c r="L255" s="6">
        <f>+J255/payroll!F255</f>
        <v>2.599019657158203E-3</v>
      </c>
      <c r="O255" s="40">
        <v>2551.7853373122439</v>
      </c>
      <c r="P255" s="16">
        <f t="shared" si="22"/>
        <v>-7.0163273111920716</v>
      </c>
      <c r="R255" s="55">
        <v>4.9338820379564304E-5</v>
      </c>
      <c r="S255" s="3">
        <f t="shared" si="23"/>
        <v>-2.0494667738956925E-9</v>
      </c>
    </row>
    <row r="256" spans="1:19" outlineLevel="1">
      <c r="A256" t="s">
        <v>430</v>
      </c>
      <c r="B256" t="s">
        <v>431</v>
      </c>
      <c r="C256" s="53">
        <f>+payroll!G256</f>
        <v>2.6301635851628279E-5</v>
      </c>
      <c r="D256" s="53">
        <f>+IFR!T256</f>
        <v>2.6520477543630945E-5</v>
      </c>
      <c r="E256" s="53">
        <f>+claims!R256</f>
        <v>0</v>
      </c>
      <c r="F256" s="53">
        <f>+costs!L256</f>
        <v>0</v>
      </c>
      <c r="H256" s="3">
        <f t="shared" si="25"/>
        <v>6.6027641744074029E-6</v>
      </c>
      <c r="J256" s="16">
        <f t="shared" si="24"/>
        <v>340.56768086987097</v>
      </c>
      <c r="L256" s="6">
        <f>+J256/payroll!F256</f>
        <v>1.3907253752594695E-3</v>
      </c>
      <c r="O256" s="40">
        <v>341.49249366652344</v>
      </c>
      <c r="P256" s="16">
        <f t="shared" si="22"/>
        <v>-0.92481279665247484</v>
      </c>
      <c r="R256" s="55">
        <v>6.6027641744068964E-6</v>
      </c>
      <c r="S256" s="3">
        <f t="shared" si="23"/>
        <v>5.065257024580716E-19</v>
      </c>
    </row>
    <row r="257" spans="1:21" outlineLevel="1">
      <c r="A257" t="s">
        <v>432</v>
      </c>
      <c r="B257" t="s">
        <v>433</v>
      </c>
      <c r="C257" s="53">
        <f>+payroll!G257</f>
        <v>4.6587563107877765E-4</v>
      </c>
      <c r="D257" s="53">
        <f>+IFR!T257</f>
        <v>5.7991444228739654E-4</v>
      </c>
      <c r="E257" s="53">
        <f>+claims!R257</f>
        <v>9.8968900325295198E-5</v>
      </c>
      <c r="F257" s="53">
        <f>+costs!L257</f>
        <v>8.1909200262378855E-5</v>
      </c>
      <c r="H257" s="3">
        <f t="shared" si="25"/>
        <v>1.9471461437699336E-4</v>
      </c>
      <c r="J257" s="16">
        <f t="shared" si="24"/>
        <v>10043.294429154059</v>
      </c>
      <c r="L257" s="6">
        <f>+J257/payroll!F257</f>
        <v>2.3154046872248626E-3</v>
      </c>
      <c r="O257" s="40">
        <v>10070.673029759617</v>
      </c>
      <c r="P257" s="16">
        <f t="shared" si="22"/>
        <v>-27.378600605557949</v>
      </c>
      <c r="R257" s="55">
        <v>1.9471666383975045E-4</v>
      </c>
      <c r="S257" s="3">
        <f t="shared" si="23"/>
        <v>-2.0494627570824975E-9</v>
      </c>
    </row>
    <row r="258" spans="1:21" outlineLevel="1">
      <c r="A258" t="s">
        <v>434</v>
      </c>
      <c r="B258" t="s">
        <v>435</v>
      </c>
      <c r="C258" s="53">
        <f>+payroll!G258</f>
        <v>1.1594196921780039E-5</v>
      </c>
      <c r="D258" s="53">
        <f>+IFR!T258</f>
        <v>2.4752445707388883E-5</v>
      </c>
      <c r="E258" s="53">
        <f>+claims!R258</f>
        <v>0</v>
      </c>
      <c r="F258" s="53">
        <f>+costs!L258</f>
        <v>0</v>
      </c>
      <c r="H258" s="3">
        <f t="shared" si="25"/>
        <v>4.5433303286461151E-6</v>
      </c>
      <c r="J258" s="16">
        <f t="shared" si="24"/>
        <v>234.34298614665079</v>
      </c>
      <c r="L258" s="6">
        <f>+J258/payroll!F258</f>
        <v>2.1708608916233539E-3</v>
      </c>
      <c r="O258" s="40">
        <v>234.97934539202259</v>
      </c>
      <c r="P258" s="16">
        <f t="shared" si="22"/>
        <v>-0.63635924537180699</v>
      </c>
      <c r="R258" s="55">
        <v>4.5433303286458915E-6</v>
      </c>
      <c r="S258" s="3">
        <f t="shared" si="23"/>
        <v>2.2361669807513529E-19</v>
      </c>
    </row>
    <row r="259" spans="1:21" outlineLevel="1">
      <c r="A259" s="50" t="s">
        <v>569</v>
      </c>
      <c r="B259" s="50" t="s">
        <v>570</v>
      </c>
      <c r="C259" s="53">
        <f>+payroll!G259</f>
        <v>9.1716363156382462E-5</v>
      </c>
      <c r="D259" s="53">
        <f>+IFR!T259</f>
        <v>9.1053639566466245E-5</v>
      </c>
      <c r="E259" s="53">
        <f>+claims!R259</f>
        <v>4.9484450162647599E-5</v>
      </c>
      <c r="F259" s="53">
        <f>+costs!L259</f>
        <v>0</v>
      </c>
      <c r="H259" s="3">
        <f>(C259*$C$3)+(D259*$D$3)+(E259*$E$3)+(F259*$F$3)</f>
        <v>3.0268917864753226E-5</v>
      </c>
      <c r="J259" s="16">
        <f>(+H259*$J$272)</f>
        <v>1561.2575108461767</v>
      </c>
      <c r="L259" s="6">
        <f>+J259/payroll!F259</f>
        <v>1.8283040569996353E-3</v>
      </c>
      <c r="O259" s="40">
        <v>1565.5501102283879</v>
      </c>
      <c r="P259" s="16">
        <f>+J259-O259</f>
        <v>-4.292599382211165</v>
      </c>
      <c r="R259" s="55">
        <v>3.0269942598354982E-5</v>
      </c>
      <c r="S259" s="3">
        <f>+H259-R259</f>
        <v>-1.0247336017554017E-9</v>
      </c>
    </row>
    <row r="260" spans="1:21" outlineLevel="1">
      <c r="A260" t="s">
        <v>436</v>
      </c>
      <c r="B260" t="s">
        <v>437</v>
      </c>
      <c r="C260" s="53">
        <f>+payroll!G260</f>
        <v>3.6527170752191769E-5</v>
      </c>
      <c r="D260" s="53">
        <f>+IFR!T260</f>
        <v>4.1990756110748993E-5</v>
      </c>
      <c r="E260" s="53">
        <f>+claims!R260</f>
        <v>4.9484450162647599E-5</v>
      </c>
      <c r="F260" s="53">
        <f>+costs!L260</f>
        <v>3.1171692248509705E-5</v>
      </c>
      <c r="H260" s="3">
        <f t="shared" si="25"/>
        <v>3.594042373137056E-5</v>
      </c>
      <c r="J260" s="16">
        <f t="shared" si="24"/>
        <v>1853.7912965476914</v>
      </c>
      <c r="L260" s="6">
        <f>+J260/payroll!F260</f>
        <v>5.450866072456444E-3</v>
      </c>
      <c r="O260" s="40">
        <v>1858.8782724192863</v>
      </c>
      <c r="P260" s="16">
        <f t="shared" si="22"/>
        <v>-5.0869758715948592</v>
      </c>
      <c r="R260" s="55">
        <v>3.5941448463283287E-5</v>
      </c>
      <c r="S260" s="3">
        <f t="shared" si="23"/>
        <v>-1.0247319127276592E-9</v>
      </c>
    </row>
    <row r="261" spans="1:21" outlineLevel="1">
      <c r="A261" t="s">
        <v>438</v>
      </c>
      <c r="B261" t="s">
        <v>439</v>
      </c>
      <c r="C261" s="53">
        <f>+payroll!G261</f>
        <v>3.4521097671066429E-5</v>
      </c>
      <c r="D261" s="53">
        <f>+IFR!T261</f>
        <v>4.9946899373838274E-5</v>
      </c>
      <c r="E261" s="53">
        <f>+claims!R261</f>
        <v>0</v>
      </c>
      <c r="F261" s="53">
        <f>+costs!L261</f>
        <v>0</v>
      </c>
      <c r="H261" s="24">
        <f t="shared" si="25"/>
        <v>1.0558499630613088E-5</v>
      </c>
      <c r="J261" s="20">
        <f t="shared" si="24"/>
        <v>544.60278115052006</v>
      </c>
      <c r="L261" s="26">
        <f>+J261/payroll!F261</f>
        <v>1.6944000899014682E-3</v>
      </c>
      <c r="O261" s="48">
        <v>546.08165201641259</v>
      </c>
      <c r="P261" s="20">
        <f t="shared" si="22"/>
        <v>-1.4788708658925316</v>
      </c>
      <c r="R261" s="92">
        <v>1.0558499630612422E-5</v>
      </c>
      <c r="S261" s="24">
        <f t="shared" si="23"/>
        <v>6.6576789654188007E-19</v>
      </c>
    </row>
    <row r="262" spans="1:21">
      <c r="B262" t="s">
        <v>483</v>
      </c>
      <c r="C262" s="33">
        <f>SUBTOTAL(9,C140:C261)</f>
        <v>2.913791183402531E-2</v>
      </c>
      <c r="D262" s="33">
        <f>SUBTOTAL(9,D140:D261)</f>
        <v>3.3570946498605238E-2</v>
      </c>
      <c r="E262" s="33">
        <f>SUBTOTAL(9,E140:E261)</f>
        <v>1.5311530658221321E-2</v>
      </c>
      <c r="F262" s="33">
        <f>SUBTOTAL(9,F140:F261)</f>
        <v>1.2901977861908115E-2</v>
      </c>
      <c r="H262" s="33">
        <f>SUBTOTAL(9,H140:H261)</f>
        <v>1.7876523607456892E-2</v>
      </c>
      <c r="J262" s="16">
        <f>SUBTOTAL(9,J140:J261)</f>
        <v>922063.24899578933</v>
      </c>
      <c r="L262" s="34">
        <f>+J262/payroll!F262</f>
        <v>3.3987795398415415E-3</v>
      </c>
      <c r="O262" s="40">
        <f>SUBTOTAL(9,O140:O261)</f>
        <v>924583.51407809847</v>
      </c>
      <c r="P262" s="40">
        <f>SUBTOTAL(9,P140:P261)</f>
        <v>-2520.2650823092486</v>
      </c>
      <c r="Q262" s="52"/>
      <c r="R262" s="55">
        <f>SUBTOTAL(9,R140:R261)</f>
        <v>1.7876840680907072E-2</v>
      </c>
      <c r="S262" s="33">
        <f>SUBTOTAL(9,S140:S261)</f>
        <v>-3.1707345017887508E-7</v>
      </c>
    </row>
    <row r="263" spans="1:21" ht="6.75" customHeight="1">
      <c r="C263" s="7"/>
      <c r="D263" s="7"/>
      <c r="E263" s="7"/>
      <c r="F263" s="7"/>
      <c r="H263" s="7"/>
      <c r="J263" s="20"/>
      <c r="O263" s="48"/>
      <c r="P263" s="48"/>
      <c r="Q263" s="52"/>
      <c r="R263" s="48"/>
      <c r="S263" s="20"/>
    </row>
    <row r="264" spans="1:21">
      <c r="C264" s="8">
        <f>SUBTOTAL(9,C4:C263)</f>
        <v>0.99999999999999878</v>
      </c>
      <c r="D264" s="8">
        <f>SUBTOTAL(9,D4:D263)</f>
        <v>1.0000000000000009</v>
      </c>
      <c r="E264" s="8">
        <f>SUBTOTAL(9,E4:E263)</f>
        <v>1.0000000000000007</v>
      </c>
      <c r="F264" s="8">
        <f>SUBTOTAL(9,F4:F263)</f>
        <v>0.99999999999999989</v>
      </c>
      <c r="H264" s="8">
        <f>SUBTOTAL(9,H4:H263)</f>
        <v>1</v>
      </c>
      <c r="J264" s="16">
        <f>SUBTOTAL(9,J4:J263)</f>
        <v>51579561.510000028</v>
      </c>
      <c r="L264" s="34">
        <f>+J264/payroll!F264</f>
        <v>5.5398544342190716E-3</v>
      </c>
      <c r="N264" s="30"/>
      <c r="O264" s="40">
        <f>SUBTOTAL(9,O4:O263)</f>
        <v>51719625.999999933</v>
      </c>
      <c r="P264" s="40">
        <f>SUBTOTAL(9,P4:P263)</f>
        <v>-140064.48999999932</v>
      </c>
      <c r="Q264" s="51"/>
      <c r="R264" s="46">
        <f>SUBTOTAL(9,R4:R263)</f>
        <v>0.99999999999999933</v>
      </c>
      <c r="S264" s="8">
        <f>SUBTOTAL(9,S4:S263)</f>
        <v>4.2172499894370732E-17</v>
      </c>
      <c r="U264" s="30"/>
    </row>
    <row r="265" spans="1:21" ht="6" customHeight="1">
      <c r="J265" s="16"/>
      <c r="O265" s="40"/>
      <c r="P265" s="16"/>
      <c r="R265" s="40"/>
      <c r="S265" s="16"/>
    </row>
    <row r="266" spans="1:21" ht="6" customHeight="1">
      <c r="J266" s="16"/>
      <c r="N266" s="52"/>
      <c r="O266" s="40"/>
      <c r="P266" s="16"/>
      <c r="R266" s="40"/>
      <c r="S266" s="16"/>
    </row>
    <row r="267" spans="1:21">
      <c r="H267" s="35" t="s">
        <v>572</v>
      </c>
      <c r="J267" s="66">
        <v>43000000</v>
      </c>
      <c r="N267" s="52"/>
      <c r="O267" s="40">
        <v>41000000</v>
      </c>
      <c r="P267" s="16">
        <f>+J267-O267</f>
        <v>2000000</v>
      </c>
      <c r="R267" s="40"/>
      <c r="S267" s="16"/>
    </row>
    <row r="268" spans="1:21">
      <c r="H268" s="9" t="s">
        <v>507</v>
      </c>
      <c r="J268" s="66">
        <v>-2958302.63</v>
      </c>
      <c r="N268" s="52"/>
      <c r="O268" s="40">
        <v>-1700000</v>
      </c>
      <c r="P268" s="16">
        <f>+J268-O268</f>
        <v>-1258302.6299999999</v>
      </c>
      <c r="R268" s="40"/>
      <c r="S268" s="16"/>
    </row>
    <row r="269" spans="1:21">
      <c r="H269" s="9" t="s">
        <v>550</v>
      </c>
      <c r="J269" s="66">
        <f>11004899+2220735</f>
        <v>13225634</v>
      </c>
      <c r="N269" s="52"/>
      <c r="O269" s="40">
        <v>13269626</v>
      </c>
      <c r="P269" s="16">
        <f>+J269-O269</f>
        <v>-43992</v>
      </c>
      <c r="R269" s="40"/>
      <c r="S269" s="16"/>
    </row>
    <row r="270" spans="1:21">
      <c r="H270" s="9" t="s">
        <v>507</v>
      </c>
      <c r="J270" s="66">
        <v>-1687769.86</v>
      </c>
      <c r="N270" s="52"/>
      <c r="O270" s="40">
        <v>-850000</v>
      </c>
      <c r="P270" s="16">
        <f>+J270-O270</f>
        <v>-837769.8600000001</v>
      </c>
      <c r="R270" s="40"/>
      <c r="S270" s="16"/>
    </row>
    <row r="271" spans="1:21" ht="6.75" customHeight="1">
      <c r="J271" s="16"/>
      <c r="N271" s="52"/>
      <c r="O271" s="40"/>
      <c r="P271" s="16"/>
      <c r="R271" s="40"/>
      <c r="S271" s="16"/>
    </row>
    <row r="272" spans="1:21" ht="13.5" thickBot="1">
      <c r="J272" s="17">
        <f>SUM(J267:J271)</f>
        <v>51579561.509999998</v>
      </c>
      <c r="N272" s="52"/>
      <c r="O272" s="43">
        <f>SUM(O267:O271)</f>
        <v>51719626</v>
      </c>
      <c r="P272" s="17">
        <f>SUM(P267:P271)</f>
        <v>-140064.49</v>
      </c>
      <c r="R272" s="59"/>
      <c r="S272" s="16"/>
    </row>
    <row r="273" spans="1:19" ht="12.75" customHeight="1" thickTop="1">
      <c r="A273" s="31"/>
      <c r="J273" s="16"/>
      <c r="N273" s="52"/>
      <c r="O273" s="40"/>
      <c r="P273" s="16"/>
      <c r="R273" s="40"/>
      <c r="S273" s="16"/>
    </row>
    <row r="274" spans="1:19">
      <c r="J274" s="16"/>
      <c r="N274" s="52"/>
      <c r="O274" s="40"/>
      <c r="P274" s="16"/>
      <c r="R274" s="40"/>
      <c r="S274" s="16"/>
    </row>
    <row r="275" spans="1:19">
      <c r="J275" s="16"/>
      <c r="N275" s="52"/>
      <c r="O275" s="40"/>
      <c r="P275" s="16"/>
      <c r="R275" s="40"/>
      <c r="S275" s="16"/>
    </row>
    <row r="276" spans="1:19">
      <c r="J276" s="16"/>
      <c r="N276" s="52"/>
      <c r="O276" s="40"/>
      <c r="P276" s="16"/>
      <c r="R276" s="40"/>
      <c r="S276" s="16"/>
    </row>
    <row r="277" spans="1:19">
      <c r="J277" s="16"/>
      <c r="O277" s="40"/>
      <c r="P277" s="16"/>
      <c r="R277" s="40"/>
      <c r="S277" s="16"/>
    </row>
    <row r="278" spans="1:19">
      <c r="J278" s="16"/>
    </row>
    <row r="279" spans="1:19">
      <c r="J279" s="16"/>
    </row>
    <row r="280" spans="1:19">
      <c r="J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</sheetData>
  <autoFilter ref="P3:P261"/>
  <dataConsolidate/>
  <phoneticPr fontId="8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2018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M276"/>
  <sheetViews>
    <sheetView zoomScale="95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A261" sqref="A5:XFD261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52" bestFit="1" customWidth="1"/>
    <col min="4" max="4" width="17" style="52" bestFit="1" customWidth="1"/>
    <col min="5" max="5" width="17.42578125" style="38" bestFit="1" customWidth="1"/>
    <col min="6" max="6" width="16.85546875" bestFit="1" customWidth="1"/>
    <col min="7" max="7" width="11.7109375" style="3" customWidth="1"/>
    <col min="10" max="10" width="16.85546875" bestFit="1" customWidth="1"/>
    <col min="11" max="11" width="16.7109375" style="86" customWidth="1"/>
    <col min="12" max="12" width="15.140625" bestFit="1" customWidth="1"/>
    <col min="13" max="13" width="12.85546875" bestFit="1" customWidth="1"/>
  </cols>
  <sheetData>
    <row r="2" spans="1:10">
      <c r="A2" s="19" t="s">
        <v>460</v>
      </c>
      <c r="B2" s="19"/>
      <c r="F2" s="1" t="s">
        <v>440</v>
      </c>
      <c r="G2" s="1" t="s">
        <v>3</v>
      </c>
    </row>
    <row r="3" spans="1:10">
      <c r="A3" s="11" t="s">
        <v>458</v>
      </c>
      <c r="B3" s="11" t="s">
        <v>459</v>
      </c>
      <c r="C3" s="11" t="s">
        <v>567</v>
      </c>
      <c r="D3" s="11" t="s">
        <v>573</v>
      </c>
      <c r="E3" s="11" t="s">
        <v>575</v>
      </c>
      <c r="F3" s="11" t="s">
        <v>441</v>
      </c>
      <c r="G3" s="11" t="s">
        <v>5</v>
      </c>
    </row>
    <row r="5" spans="1:10">
      <c r="A5" t="s">
        <v>7</v>
      </c>
      <c r="B5" t="s">
        <v>515</v>
      </c>
      <c r="C5" s="40">
        <v>24723772.93</v>
      </c>
      <c r="D5" s="68">
        <v>27228228.98</v>
      </c>
      <c r="E5" s="45">
        <v>25318470.579999998</v>
      </c>
      <c r="F5" s="16">
        <f t="shared" ref="F5:F54" si="0">IF(C5&gt;0,(+C5+(D5*2)+(E5*3))/6,IF(D5&gt;0,((D5*2)+(E5*3))/5,E5))</f>
        <v>25855940.438333333</v>
      </c>
      <c r="G5" s="3">
        <f t="shared" ref="G5:G36" si="1">+F5/$F$264</f>
        <v>2.7770330358553885E-3</v>
      </c>
      <c r="I5" s="16"/>
      <c r="J5" s="85"/>
    </row>
    <row r="6" spans="1:10">
      <c r="A6" t="s">
        <v>8</v>
      </c>
      <c r="B6" t="s">
        <v>516</v>
      </c>
      <c r="C6" s="40">
        <v>26683504</v>
      </c>
      <c r="D6" s="68">
        <v>31386266.140000001</v>
      </c>
      <c r="E6" s="45">
        <v>29370407</v>
      </c>
      <c r="F6" s="16">
        <f t="shared" si="0"/>
        <v>29594542.879999999</v>
      </c>
      <c r="G6" s="3">
        <f t="shared" si="1"/>
        <v>3.1785741251535967E-3</v>
      </c>
      <c r="I6" s="16"/>
      <c r="J6" s="85"/>
    </row>
    <row r="7" spans="1:10">
      <c r="A7" t="s">
        <v>9</v>
      </c>
      <c r="B7" t="s">
        <v>10</v>
      </c>
      <c r="C7" s="40">
        <v>25157408.25</v>
      </c>
      <c r="D7" s="68">
        <v>24927414.25</v>
      </c>
      <c r="E7" s="45">
        <v>26845483.859999999</v>
      </c>
      <c r="F7" s="16">
        <f t="shared" si="0"/>
        <v>25924781.388333332</v>
      </c>
      <c r="G7" s="3">
        <f t="shared" si="1"/>
        <v>2.7844268335331648E-3</v>
      </c>
      <c r="I7" s="16"/>
      <c r="J7" s="85"/>
    </row>
    <row r="8" spans="1:10">
      <c r="A8" t="s">
        <v>11</v>
      </c>
      <c r="B8" t="s">
        <v>12</v>
      </c>
      <c r="C8" s="40">
        <v>12804605</v>
      </c>
      <c r="D8" s="68">
        <v>12988325</v>
      </c>
      <c r="E8" s="45">
        <v>14137996.220000001</v>
      </c>
      <c r="F8" s="16">
        <f t="shared" si="0"/>
        <v>13532540.609999999</v>
      </c>
      <c r="G8" s="3">
        <f t="shared" si="1"/>
        <v>1.4534498338072072E-3</v>
      </c>
      <c r="I8" s="16"/>
      <c r="J8" s="85"/>
    </row>
    <row r="9" spans="1:10">
      <c r="A9" t="s">
        <v>13</v>
      </c>
      <c r="B9" t="s">
        <v>14</v>
      </c>
      <c r="C9" s="40">
        <v>1187769</v>
      </c>
      <c r="D9" s="68">
        <v>1453885.31</v>
      </c>
      <c r="E9" s="45">
        <v>1329680</v>
      </c>
      <c r="F9" s="16">
        <f t="shared" si="0"/>
        <v>1347429.9366666668</v>
      </c>
      <c r="G9" s="3">
        <f t="shared" si="1"/>
        <v>1.4471944876838782E-4</v>
      </c>
      <c r="I9" s="16"/>
      <c r="J9" s="85"/>
    </row>
    <row r="10" spans="1:10">
      <c r="A10" t="s">
        <v>15</v>
      </c>
      <c r="B10" t="s">
        <v>16</v>
      </c>
      <c r="C10" s="40">
        <v>2174018</v>
      </c>
      <c r="D10" s="68">
        <v>2158781.58</v>
      </c>
      <c r="E10" s="45">
        <v>2225958</v>
      </c>
      <c r="F10" s="16">
        <f t="shared" si="0"/>
        <v>2194909.1933333334</v>
      </c>
      <c r="G10" s="3">
        <f t="shared" si="1"/>
        <v>2.3574216359009654E-4</v>
      </c>
      <c r="I10" s="16"/>
      <c r="J10" s="85"/>
    </row>
    <row r="11" spans="1:10">
      <c r="A11" t="s">
        <v>17</v>
      </c>
      <c r="B11" t="s">
        <v>18</v>
      </c>
      <c r="C11" s="80">
        <v>5535617</v>
      </c>
      <c r="D11" s="82">
        <v>5931146</v>
      </c>
      <c r="E11" s="45">
        <v>6115626</v>
      </c>
      <c r="F11" s="16">
        <f t="shared" si="0"/>
        <v>5957464.5</v>
      </c>
      <c r="G11" s="3">
        <f t="shared" si="1"/>
        <v>6.3985588789135261E-4</v>
      </c>
      <c r="I11" s="16"/>
      <c r="J11" s="85"/>
    </row>
    <row r="12" spans="1:10">
      <c r="A12" t="s">
        <v>19</v>
      </c>
      <c r="B12" t="s">
        <v>20</v>
      </c>
      <c r="C12" s="80">
        <v>1111685</v>
      </c>
      <c r="D12" s="82">
        <v>1258246</v>
      </c>
      <c r="E12" s="45">
        <v>1216458</v>
      </c>
      <c r="F12" s="16">
        <f t="shared" si="0"/>
        <v>1212925.1666666667</v>
      </c>
      <c r="G12" s="3">
        <f t="shared" si="1"/>
        <v>1.3027309008106837E-4</v>
      </c>
      <c r="I12" s="16"/>
      <c r="J12" s="85"/>
    </row>
    <row r="13" spans="1:10">
      <c r="A13" t="s">
        <v>21</v>
      </c>
      <c r="B13" t="s">
        <v>22</v>
      </c>
      <c r="C13" s="80">
        <v>5639310</v>
      </c>
      <c r="D13" s="82">
        <v>5397021</v>
      </c>
      <c r="E13" s="45">
        <v>6204941</v>
      </c>
      <c r="F13" s="16">
        <f t="shared" si="0"/>
        <v>5841362.5</v>
      </c>
      <c r="G13" s="3">
        <f t="shared" si="1"/>
        <v>6.2738606145831865E-4</v>
      </c>
      <c r="I13" s="16"/>
      <c r="J13" s="85"/>
    </row>
    <row r="14" spans="1:10">
      <c r="A14" t="s">
        <v>23</v>
      </c>
      <c r="B14" t="s">
        <v>24</v>
      </c>
      <c r="C14" s="81">
        <v>14799938.869999999</v>
      </c>
      <c r="D14" s="83">
        <v>15444523</v>
      </c>
      <c r="E14" s="45">
        <v>17390601.940000001</v>
      </c>
      <c r="F14" s="16">
        <f t="shared" si="0"/>
        <v>16310131.781666666</v>
      </c>
      <c r="G14" s="3">
        <f t="shared" si="1"/>
        <v>1.7517744088585494E-3</v>
      </c>
      <c r="I14" s="16"/>
      <c r="J14" s="85"/>
    </row>
    <row r="15" spans="1:10">
      <c r="A15" t="s">
        <v>25</v>
      </c>
      <c r="B15" t="s">
        <v>26</v>
      </c>
      <c r="C15" s="80">
        <v>370470</v>
      </c>
      <c r="D15" s="82">
        <v>386120</v>
      </c>
      <c r="E15" s="45">
        <v>386603.9</v>
      </c>
      <c r="F15" s="16">
        <f t="shared" si="0"/>
        <v>383753.6166666667</v>
      </c>
      <c r="G15" s="3">
        <f t="shared" si="1"/>
        <v>4.1216697325475933E-5</v>
      </c>
      <c r="I15" s="16"/>
      <c r="J15" s="85"/>
    </row>
    <row r="16" spans="1:10">
      <c r="A16" t="s">
        <v>548</v>
      </c>
      <c r="B16" t="s">
        <v>549</v>
      </c>
      <c r="C16" s="80">
        <v>605446.32999999996</v>
      </c>
      <c r="D16" s="82">
        <v>798958</v>
      </c>
      <c r="E16" s="45">
        <v>976128.87</v>
      </c>
      <c r="F16" s="16">
        <f>IF(C16&gt;0,(+C16+(D16*2)+(E16*3))/6,IF(D16&gt;0,((D16*2)+(E16*3))/5,E16))</f>
        <v>855291.48999999987</v>
      </c>
      <c r="G16" s="3">
        <f t="shared" si="1"/>
        <v>9.1861780416797761E-5</v>
      </c>
      <c r="I16" s="16"/>
      <c r="J16" s="85"/>
    </row>
    <row r="17" spans="1:10">
      <c r="A17" t="s">
        <v>27</v>
      </c>
      <c r="B17" t="s">
        <v>517</v>
      </c>
      <c r="C17" s="80">
        <v>3852286.82</v>
      </c>
      <c r="D17" s="82">
        <v>3946180</v>
      </c>
      <c r="E17" s="45">
        <v>4551928.8099999996</v>
      </c>
      <c r="F17" s="16">
        <f t="shared" si="0"/>
        <v>4233405.541666667</v>
      </c>
      <c r="G17" s="3">
        <f t="shared" si="1"/>
        <v>4.5468495224223289E-4</v>
      </c>
      <c r="I17" s="16"/>
      <c r="J17" s="85"/>
    </row>
    <row r="18" spans="1:10">
      <c r="A18" t="s">
        <v>28</v>
      </c>
      <c r="B18" t="s">
        <v>518</v>
      </c>
      <c r="C18" s="80">
        <v>3110500</v>
      </c>
      <c r="D18" s="82">
        <v>3062760</v>
      </c>
      <c r="E18" s="45">
        <v>3369950</v>
      </c>
      <c r="F18" s="16">
        <f t="shared" si="0"/>
        <v>3224311.6666666665</v>
      </c>
      <c r="G18" s="3">
        <f t="shared" si="1"/>
        <v>3.4630417089576398E-4</v>
      </c>
      <c r="I18" s="16"/>
      <c r="J18" s="85"/>
    </row>
    <row r="19" spans="1:10">
      <c r="A19" t="s">
        <v>29</v>
      </c>
      <c r="B19" t="s">
        <v>519</v>
      </c>
      <c r="C19" s="80">
        <v>2833979</v>
      </c>
      <c r="D19" s="82">
        <v>2815392</v>
      </c>
      <c r="E19" s="45">
        <v>3141520.04</v>
      </c>
      <c r="F19" s="16">
        <f t="shared" si="0"/>
        <v>2981553.8533333335</v>
      </c>
      <c r="G19" s="3">
        <f t="shared" si="1"/>
        <v>3.2023099560567821E-4</v>
      </c>
      <c r="I19" s="16"/>
      <c r="J19" s="85"/>
    </row>
    <row r="20" spans="1:10">
      <c r="A20" t="s">
        <v>30</v>
      </c>
      <c r="B20" t="s">
        <v>520</v>
      </c>
      <c r="C20" s="80">
        <v>3007279</v>
      </c>
      <c r="D20" s="82">
        <v>3111017</v>
      </c>
      <c r="E20" s="45">
        <v>3384351</v>
      </c>
      <c r="F20" s="16">
        <f t="shared" si="0"/>
        <v>3230394.3333333335</v>
      </c>
      <c r="G20" s="3">
        <f t="shared" si="1"/>
        <v>3.4695747400495535E-4</v>
      </c>
      <c r="I20" s="16"/>
      <c r="J20" s="85"/>
    </row>
    <row r="21" spans="1:10">
      <c r="A21" t="s">
        <v>31</v>
      </c>
      <c r="B21" t="s">
        <v>521</v>
      </c>
      <c r="C21" s="40">
        <v>5871496.54</v>
      </c>
      <c r="D21" s="68">
        <v>5811054</v>
      </c>
      <c r="E21" s="45">
        <v>5886138</v>
      </c>
      <c r="F21" s="16">
        <f>IF(C21&gt;0,(+C21+(D21*2)+(E21*3))/6,IF(D21&gt;0,((D21*2)+(E21*3))/5,E21))</f>
        <v>5858669.7566666668</v>
      </c>
      <c r="G21" s="3">
        <f t="shared" si="1"/>
        <v>6.2924493113037684E-4</v>
      </c>
      <c r="I21" s="16"/>
      <c r="J21" s="85"/>
    </row>
    <row r="22" spans="1:10">
      <c r="A22" t="s">
        <v>32</v>
      </c>
      <c r="B22" t="s">
        <v>522</v>
      </c>
      <c r="C22" s="81">
        <v>1395982</v>
      </c>
      <c r="D22" s="83">
        <v>1447260</v>
      </c>
      <c r="E22" s="45">
        <v>1499440</v>
      </c>
      <c r="F22" s="16">
        <f t="shared" si="0"/>
        <v>1464803.6666666667</v>
      </c>
      <c r="G22" s="3">
        <f t="shared" si="1"/>
        <v>1.5732586416948168E-4</v>
      </c>
      <c r="I22" s="16"/>
      <c r="J22" s="85"/>
    </row>
    <row r="23" spans="1:10">
      <c r="A23" t="s">
        <v>33</v>
      </c>
      <c r="B23" t="s">
        <v>523</v>
      </c>
      <c r="C23" s="81">
        <v>1690957.41</v>
      </c>
      <c r="D23" s="83">
        <v>1741140.04</v>
      </c>
      <c r="E23" s="45">
        <v>1769227</v>
      </c>
      <c r="F23" s="16">
        <f t="shared" si="0"/>
        <v>1746819.7483333333</v>
      </c>
      <c r="G23" s="3">
        <f t="shared" si="1"/>
        <v>1.8761553695468503E-4</v>
      </c>
      <c r="I23" s="16"/>
      <c r="J23" s="85"/>
    </row>
    <row r="24" spans="1:10">
      <c r="A24" t="s">
        <v>34</v>
      </c>
      <c r="B24" t="s">
        <v>524</v>
      </c>
      <c r="C24" s="81">
        <v>1397845</v>
      </c>
      <c r="D24" s="83">
        <v>1404691.86</v>
      </c>
      <c r="E24" s="45">
        <v>1530177.76</v>
      </c>
      <c r="F24" s="16">
        <f t="shared" si="0"/>
        <v>1466293.6666666667</v>
      </c>
      <c r="G24" s="3">
        <f t="shared" si="1"/>
        <v>1.5748589622220446E-4</v>
      </c>
      <c r="I24" s="16"/>
      <c r="J24" s="85"/>
    </row>
    <row r="25" spans="1:10">
      <c r="A25" t="s">
        <v>35</v>
      </c>
      <c r="B25" t="s">
        <v>525</v>
      </c>
      <c r="C25" s="81">
        <v>1813875</v>
      </c>
      <c r="D25" s="83">
        <v>1799114</v>
      </c>
      <c r="E25" s="45">
        <v>1917100.42</v>
      </c>
      <c r="F25" s="16">
        <f t="shared" si="0"/>
        <v>1860567.3766666667</v>
      </c>
      <c r="G25" s="3">
        <f t="shared" si="1"/>
        <v>1.9983249430671971E-4</v>
      </c>
      <c r="I25" s="16"/>
      <c r="J25" s="85"/>
    </row>
    <row r="26" spans="1:10">
      <c r="A26" t="s">
        <v>36</v>
      </c>
      <c r="B26" t="s">
        <v>526</v>
      </c>
      <c r="C26" s="81">
        <v>1311972.92</v>
      </c>
      <c r="D26" s="83">
        <v>1339474.6399999999</v>
      </c>
      <c r="E26" s="45">
        <v>1414720</v>
      </c>
      <c r="F26" s="16">
        <f t="shared" si="0"/>
        <v>1372513.7</v>
      </c>
      <c r="G26" s="3">
        <f t="shared" si="1"/>
        <v>1.4741354684640515E-4</v>
      </c>
      <c r="I26" s="16"/>
      <c r="J26" s="85"/>
    </row>
    <row r="27" spans="1:10">
      <c r="A27" t="s">
        <v>37</v>
      </c>
      <c r="B27" t="s">
        <v>527</v>
      </c>
      <c r="C27" s="81">
        <v>1367486.17</v>
      </c>
      <c r="D27" s="83">
        <v>1385627.99</v>
      </c>
      <c r="E27" s="45">
        <v>1486311.92</v>
      </c>
      <c r="F27" s="16">
        <f t="shared" si="0"/>
        <v>1432946.3183333334</v>
      </c>
      <c r="G27" s="3">
        <f t="shared" si="1"/>
        <v>1.5390425554660374E-4</v>
      </c>
      <c r="I27" s="16"/>
      <c r="J27" s="85"/>
    </row>
    <row r="28" spans="1:10">
      <c r="A28" t="s">
        <v>38</v>
      </c>
      <c r="B28" t="s">
        <v>528</v>
      </c>
      <c r="C28" s="81">
        <v>1396135</v>
      </c>
      <c r="D28" s="83">
        <v>1641103</v>
      </c>
      <c r="E28" s="45">
        <v>1470121.91</v>
      </c>
      <c r="F28" s="16">
        <f t="shared" si="0"/>
        <v>1514784.4550000001</v>
      </c>
      <c r="G28" s="3">
        <f t="shared" si="1"/>
        <v>1.6269400386994227E-4</v>
      </c>
      <c r="I28" s="16"/>
      <c r="J28" s="85"/>
    </row>
    <row r="29" spans="1:10">
      <c r="A29" t="s">
        <v>39</v>
      </c>
      <c r="B29" t="s">
        <v>529</v>
      </c>
      <c r="C29" s="81">
        <v>2381999.48</v>
      </c>
      <c r="D29" s="83">
        <v>2303922</v>
      </c>
      <c r="E29" s="45">
        <v>2487455</v>
      </c>
      <c r="F29" s="16">
        <f t="shared" si="0"/>
        <v>2408701.4133333336</v>
      </c>
      <c r="G29" s="3">
        <f t="shared" si="1"/>
        <v>2.5870431649127851E-4</v>
      </c>
      <c r="I29" s="16"/>
      <c r="J29" s="85"/>
    </row>
    <row r="30" spans="1:10">
      <c r="A30" t="s">
        <v>40</v>
      </c>
      <c r="B30" t="s">
        <v>530</v>
      </c>
      <c r="C30" s="81">
        <v>4016389.75</v>
      </c>
      <c r="D30" s="83">
        <v>4183108</v>
      </c>
      <c r="E30" s="45">
        <v>4790048.1399999997</v>
      </c>
      <c r="F30" s="16">
        <f t="shared" si="0"/>
        <v>4458791.6949999994</v>
      </c>
      <c r="G30" s="3">
        <f t="shared" si="1"/>
        <v>4.7889234068063921E-4</v>
      </c>
      <c r="I30" s="16"/>
      <c r="J30" s="85"/>
    </row>
    <row r="31" spans="1:10">
      <c r="A31" t="s">
        <v>41</v>
      </c>
      <c r="B31" t="s">
        <v>531</v>
      </c>
      <c r="C31" s="81">
        <v>91302720</v>
      </c>
      <c r="D31" s="83">
        <v>91366503</v>
      </c>
      <c r="E31" s="45">
        <v>93100881</v>
      </c>
      <c r="F31" s="16">
        <f t="shared" si="0"/>
        <v>92223061.5</v>
      </c>
      <c r="G31" s="3">
        <f t="shared" si="1"/>
        <v>9.9051314363923313E-3</v>
      </c>
      <c r="I31" s="16"/>
      <c r="J31" s="85"/>
    </row>
    <row r="32" spans="1:10">
      <c r="A32" t="s">
        <v>42</v>
      </c>
      <c r="B32" t="s">
        <v>43</v>
      </c>
      <c r="C32" s="81">
        <v>786496</v>
      </c>
      <c r="D32" s="83">
        <v>812040</v>
      </c>
      <c r="E32" s="45">
        <v>923968</v>
      </c>
      <c r="F32" s="16">
        <f t="shared" si="0"/>
        <v>863746.66666666663</v>
      </c>
      <c r="G32" s="3">
        <f t="shared" si="1"/>
        <v>9.2769900737670559E-5</v>
      </c>
      <c r="I32" s="16"/>
      <c r="J32" s="85"/>
    </row>
    <row r="33" spans="1:10">
      <c r="A33" t="s">
        <v>44</v>
      </c>
      <c r="B33" t="s">
        <v>45</v>
      </c>
      <c r="C33" s="81">
        <v>532744</v>
      </c>
      <c r="D33" s="83">
        <v>567389</v>
      </c>
      <c r="E33" s="45">
        <v>583979.16</v>
      </c>
      <c r="F33" s="16">
        <f t="shared" si="0"/>
        <v>569909.91333333333</v>
      </c>
      <c r="G33" s="3">
        <f t="shared" si="1"/>
        <v>6.1210639797179461E-5</v>
      </c>
      <c r="I33" s="16"/>
      <c r="J33" s="85"/>
    </row>
    <row r="34" spans="1:10">
      <c r="A34" t="s">
        <v>46</v>
      </c>
      <c r="B34" t="s">
        <v>47</v>
      </c>
      <c r="C34" s="81">
        <v>16918011.899999999</v>
      </c>
      <c r="D34" s="83">
        <f>11118233.88+6532140.26</f>
        <v>17650374.140000001</v>
      </c>
      <c r="E34" s="45">
        <f>11524751.12+7153976</f>
        <v>18678727.119999997</v>
      </c>
      <c r="F34" s="16">
        <f t="shared" si="0"/>
        <v>18042490.256666664</v>
      </c>
      <c r="G34" s="3">
        <f t="shared" si="1"/>
        <v>1.9378367463122152E-3</v>
      </c>
      <c r="I34" s="16"/>
      <c r="J34" s="85"/>
    </row>
    <row r="35" spans="1:10">
      <c r="A35" t="s">
        <v>48</v>
      </c>
      <c r="B35" t="s">
        <v>49</v>
      </c>
      <c r="C35" s="81">
        <v>203318925.77000001</v>
      </c>
      <c r="D35" s="83">
        <v>206766147</v>
      </c>
      <c r="E35" s="45">
        <v>218727210</v>
      </c>
      <c r="F35" s="16">
        <f t="shared" si="0"/>
        <v>212172141.62833333</v>
      </c>
      <c r="G35" s="3">
        <f t="shared" si="1"/>
        <v>2.2788149902933881E-2</v>
      </c>
      <c r="I35" s="16"/>
      <c r="J35" s="85"/>
    </row>
    <row r="36" spans="1:10">
      <c r="A36" t="s">
        <v>50</v>
      </c>
      <c r="B36" t="s">
        <v>497</v>
      </c>
      <c r="C36" s="81">
        <v>13960654.949999999</v>
      </c>
      <c r="D36" s="83">
        <v>14793053.310000001</v>
      </c>
      <c r="E36" s="45">
        <v>16629843.220000001</v>
      </c>
      <c r="F36" s="16">
        <f t="shared" si="0"/>
        <v>15572715.205</v>
      </c>
      <c r="G36" s="3">
        <f t="shared" si="1"/>
        <v>1.6725728729687676E-3</v>
      </c>
      <c r="I36" s="16"/>
      <c r="J36" s="85"/>
    </row>
    <row r="37" spans="1:10">
      <c r="A37" t="s">
        <v>51</v>
      </c>
      <c r="B37" t="s">
        <v>52</v>
      </c>
      <c r="C37" s="81">
        <v>160662510</v>
      </c>
      <c r="D37" s="83">
        <v>167291598.37</v>
      </c>
      <c r="E37" s="45">
        <v>180408320.03999999</v>
      </c>
      <c r="F37" s="16">
        <f t="shared" si="0"/>
        <v>172745111.14333335</v>
      </c>
      <c r="G37" s="3">
        <f t="shared" ref="G37:G68" si="2">+F37/$F$264</f>
        <v>1.8553526667176606E-2</v>
      </c>
      <c r="I37" s="16"/>
      <c r="J37" s="85"/>
    </row>
    <row r="38" spans="1:10">
      <c r="A38" t="s">
        <v>53</v>
      </c>
      <c r="B38" t="s">
        <v>54</v>
      </c>
      <c r="C38" s="81">
        <v>43885926.939999998</v>
      </c>
      <c r="D38" s="83">
        <v>44990844.82</v>
      </c>
      <c r="E38" s="45">
        <v>43499450.869999997</v>
      </c>
      <c r="F38" s="16">
        <f t="shared" si="0"/>
        <v>44060994.865000002</v>
      </c>
      <c r="G38" s="3">
        <f t="shared" si="2"/>
        <v>4.7323298343986617E-3</v>
      </c>
      <c r="I38" s="16"/>
      <c r="J38" s="85"/>
    </row>
    <row r="39" spans="1:10">
      <c r="A39" t="s">
        <v>55</v>
      </c>
      <c r="B39" t="s">
        <v>56</v>
      </c>
      <c r="C39" s="81">
        <v>6144127</v>
      </c>
      <c r="D39" s="83">
        <v>6802160.9699999997</v>
      </c>
      <c r="E39" s="45">
        <v>7025203.6500000004</v>
      </c>
      <c r="F39" s="16">
        <f t="shared" si="0"/>
        <v>6804009.9816666665</v>
      </c>
      <c r="G39" s="3">
        <f t="shared" si="2"/>
        <v>7.3077831148485252E-4</v>
      </c>
      <c r="I39" s="16"/>
      <c r="J39" s="85"/>
    </row>
    <row r="40" spans="1:10">
      <c r="A40" t="s">
        <v>57</v>
      </c>
      <c r="B40" t="s">
        <v>58</v>
      </c>
      <c r="C40" s="81">
        <v>9711258</v>
      </c>
      <c r="D40" s="83">
        <v>10287579</v>
      </c>
      <c r="E40" s="45">
        <v>9991549</v>
      </c>
      <c r="F40" s="16">
        <f t="shared" si="0"/>
        <v>10043510.5</v>
      </c>
      <c r="G40" s="3">
        <f t="shared" si="2"/>
        <v>1.0787138267502262E-3</v>
      </c>
      <c r="I40" s="16"/>
      <c r="J40" s="85"/>
    </row>
    <row r="41" spans="1:10">
      <c r="A41" t="s">
        <v>59</v>
      </c>
      <c r="B41" t="s">
        <v>60</v>
      </c>
      <c r="C41" s="81">
        <v>13642106</v>
      </c>
      <c r="D41" s="83">
        <v>14810610.640000001</v>
      </c>
      <c r="E41" s="45">
        <v>15237280.220000001</v>
      </c>
      <c r="F41" s="16">
        <f t="shared" si="0"/>
        <v>14829194.656666666</v>
      </c>
      <c r="G41" s="3">
        <f t="shared" si="2"/>
        <v>1.5927157457262485E-3</v>
      </c>
      <c r="I41" s="16"/>
      <c r="J41" s="85"/>
    </row>
    <row r="42" spans="1:10">
      <c r="A42" t="s">
        <v>61</v>
      </c>
      <c r="B42" t="s">
        <v>532</v>
      </c>
      <c r="C42" s="81">
        <v>5764503.4400000004</v>
      </c>
      <c r="D42" s="83">
        <v>6067593.04</v>
      </c>
      <c r="E42" s="45">
        <v>5997070</v>
      </c>
      <c r="F42" s="16">
        <f t="shared" si="0"/>
        <v>5981816.586666666</v>
      </c>
      <c r="G42" s="3">
        <f t="shared" si="2"/>
        <v>6.4247140092313099E-4</v>
      </c>
      <c r="I42" s="16"/>
      <c r="J42" s="85"/>
    </row>
    <row r="43" spans="1:10">
      <c r="A43" t="s">
        <v>62</v>
      </c>
      <c r="B43" t="s">
        <v>63</v>
      </c>
      <c r="C43" s="81">
        <v>14659362</v>
      </c>
      <c r="D43" s="83">
        <v>15652783</v>
      </c>
      <c r="E43" s="45">
        <v>15846384</v>
      </c>
      <c r="F43" s="16">
        <f t="shared" si="0"/>
        <v>15584013.333333334</v>
      </c>
      <c r="G43" s="3">
        <f t="shared" si="2"/>
        <v>1.6737863378473643E-3</v>
      </c>
      <c r="I43" s="16"/>
      <c r="J43" s="85"/>
    </row>
    <row r="44" spans="1:10">
      <c r="A44" s="50" t="s">
        <v>64</v>
      </c>
      <c r="B44" s="50" t="s">
        <v>533</v>
      </c>
      <c r="C44" s="81">
        <v>123946061</v>
      </c>
      <c r="D44" s="83">
        <v>122126713</v>
      </c>
      <c r="E44" s="45">
        <v>125546503</v>
      </c>
      <c r="F44" s="16">
        <f t="shared" si="0"/>
        <v>124139832.66666667</v>
      </c>
      <c r="G44" s="3">
        <f t="shared" si="2"/>
        <v>1.3333122312959472E-2</v>
      </c>
      <c r="I44" s="16"/>
      <c r="J44" s="85"/>
    </row>
    <row r="45" spans="1:10">
      <c r="A45" t="s">
        <v>555</v>
      </c>
      <c r="B45" t="s">
        <v>556</v>
      </c>
      <c r="C45" s="81">
        <v>337113</v>
      </c>
      <c r="D45" s="83">
        <v>364435</v>
      </c>
      <c r="E45" s="45">
        <v>349037</v>
      </c>
      <c r="F45" s="16">
        <f t="shared" si="0"/>
        <v>352182.33333333331</v>
      </c>
      <c r="G45" s="3">
        <f t="shared" si="2"/>
        <v>3.7825813245659845E-5</v>
      </c>
      <c r="I45" s="16"/>
      <c r="J45" s="85"/>
    </row>
    <row r="46" spans="1:10">
      <c r="A46" t="s">
        <v>65</v>
      </c>
      <c r="B46" t="s">
        <v>66</v>
      </c>
      <c r="C46" s="81">
        <v>5234017.8899999997</v>
      </c>
      <c r="D46" s="83">
        <v>5333693.6100000003</v>
      </c>
      <c r="E46" s="45">
        <v>5650581.2400000002</v>
      </c>
      <c r="F46" s="16">
        <f t="shared" si="0"/>
        <v>5475524.8049999997</v>
      </c>
      <c r="G46" s="3">
        <f t="shared" si="2"/>
        <v>5.8809360689843812E-4</v>
      </c>
      <c r="I46" s="16"/>
      <c r="J46" s="85"/>
    </row>
    <row r="47" spans="1:10">
      <c r="A47" t="s">
        <v>67</v>
      </c>
      <c r="B47" t="s">
        <v>68</v>
      </c>
      <c r="C47" s="81">
        <v>18822265.920000002</v>
      </c>
      <c r="D47" s="83">
        <v>19013326</v>
      </c>
      <c r="E47" s="45">
        <v>19107083</v>
      </c>
      <c r="F47" s="16">
        <f t="shared" si="0"/>
        <v>19028361.153333332</v>
      </c>
      <c r="G47" s="3">
        <f t="shared" si="2"/>
        <v>2.0437232854486035E-3</v>
      </c>
      <c r="I47" s="16"/>
      <c r="J47" s="85"/>
    </row>
    <row r="48" spans="1:10">
      <c r="A48" t="s">
        <v>69</v>
      </c>
      <c r="B48" t="s">
        <v>70</v>
      </c>
      <c r="C48" s="81">
        <v>707237</v>
      </c>
      <c r="D48" s="83">
        <v>729315.99</v>
      </c>
      <c r="E48" s="45">
        <v>766445.16</v>
      </c>
      <c r="F48" s="16">
        <f t="shared" si="0"/>
        <v>744200.74333333329</v>
      </c>
      <c r="G48" s="3">
        <f t="shared" si="2"/>
        <v>7.9930182948627658E-5</v>
      </c>
      <c r="I48" s="16"/>
      <c r="J48" s="85"/>
    </row>
    <row r="49" spans="1:11">
      <c r="A49" t="s">
        <v>71</v>
      </c>
      <c r="B49" t="s">
        <v>72</v>
      </c>
      <c r="C49" s="81">
        <v>587334</v>
      </c>
      <c r="D49" s="83">
        <v>872194.78</v>
      </c>
      <c r="E49" s="45">
        <v>1008955.59</v>
      </c>
      <c r="F49" s="16">
        <f t="shared" si="0"/>
        <v>893098.38833333331</v>
      </c>
      <c r="G49" s="3">
        <f t="shared" si="2"/>
        <v>9.5922394878116527E-5</v>
      </c>
      <c r="I49" s="16"/>
      <c r="J49" s="85"/>
    </row>
    <row r="50" spans="1:11">
      <c r="A50" t="s">
        <v>73</v>
      </c>
      <c r="B50" t="s">
        <v>74</v>
      </c>
      <c r="C50" s="81">
        <v>588697.65</v>
      </c>
      <c r="D50" s="83">
        <v>624978</v>
      </c>
      <c r="E50" s="45">
        <v>661151.27</v>
      </c>
      <c r="F50" s="16">
        <f t="shared" si="0"/>
        <v>637017.91</v>
      </c>
      <c r="G50" s="3">
        <f t="shared" si="2"/>
        <v>6.8418311247300565E-5</v>
      </c>
      <c r="I50" s="16"/>
      <c r="J50" s="85"/>
    </row>
    <row r="51" spans="1:11">
      <c r="A51" t="s">
        <v>75</v>
      </c>
      <c r="B51" t="s">
        <v>76</v>
      </c>
      <c r="C51" s="81">
        <v>1717281.34</v>
      </c>
      <c r="D51" s="83">
        <v>1727130.6</v>
      </c>
      <c r="E51" s="45">
        <v>1763891.3</v>
      </c>
      <c r="F51" s="16">
        <f t="shared" si="0"/>
        <v>1743869.406666667</v>
      </c>
      <c r="G51" s="3">
        <f t="shared" si="2"/>
        <v>1.8729865827471847E-4</v>
      </c>
      <c r="I51" s="16"/>
      <c r="J51" s="85"/>
    </row>
    <row r="52" spans="1:11">
      <c r="A52" t="s">
        <v>77</v>
      </c>
      <c r="B52" t="s">
        <v>78</v>
      </c>
      <c r="C52" s="81">
        <v>765647</v>
      </c>
      <c r="D52" s="83">
        <v>765742</v>
      </c>
      <c r="E52" s="45">
        <v>847665</v>
      </c>
      <c r="F52" s="16">
        <f t="shared" si="0"/>
        <v>806687.66666666663</v>
      </c>
      <c r="G52" s="3">
        <f t="shared" si="2"/>
        <v>8.6641532350885771E-5</v>
      </c>
      <c r="I52" s="16"/>
      <c r="J52" s="85"/>
    </row>
    <row r="53" spans="1:11" s="87" customFormat="1">
      <c r="A53" s="87" t="s">
        <v>79</v>
      </c>
      <c r="B53" s="87" t="s">
        <v>80</v>
      </c>
      <c r="C53" s="93">
        <v>7880191.4000000004</v>
      </c>
      <c r="D53" s="94">
        <v>8139086</v>
      </c>
      <c r="E53" s="88">
        <v>8989739</v>
      </c>
      <c r="F53" s="90">
        <f t="shared" si="0"/>
        <v>8521263.4000000004</v>
      </c>
      <c r="G53" s="91">
        <f t="shared" si="2"/>
        <v>9.152183044923032E-4</v>
      </c>
      <c r="I53" s="90"/>
      <c r="J53" s="95"/>
      <c r="K53" s="96"/>
    </row>
    <row r="54" spans="1:11">
      <c r="A54" t="s">
        <v>81</v>
      </c>
      <c r="B54" t="s">
        <v>498</v>
      </c>
      <c r="C54" s="81">
        <v>18574738</v>
      </c>
      <c r="D54" s="83">
        <v>19895085</v>
      </c>
      <c r="E54" s="45">
        <v>20672013</v>
      </c>
      <c r="F54" s="16">
        <f t="shared" si="0"/>
        <v>20063491.166666668</v>
      </c>
      <c r="G54" s="3">
        <f t="shared" si="2"/>
        <v>2.1549004538168564E-3</v>
      </c>
      <c r="I54" s="16"/>
      <c r="J54" s="85"/>
    </row>
    <row r="55" spans="1:11">
      <c r="A55" t="s">
        <v>82</v>
      </c>
      <c r="B55" t="s">
        <v>83</v>
      </c>
      <c r="C55" s="81">
        <v>317585</v>
      </c>
      <c r="D55" s="83">
        <v>328574.84000000003</v>
      </c>
      <c r="E55" s="45">
        <v>389041</v>
      </c>
      <c r="F55" s="16">
        <f t="shared" ref="F55:F99" si="3">IF(C55&gt;0,(+C55+(D55*2)+(E55*3))/6,IF(D55&gt;0,((D55*2)+(E55*3))/5,E55))</f>
        <v>356976.28</v>
      </c>
      <c r="G55" s="3">
        <f t="shared" si="2"/>
        <v>3.8340702591774089E-5</v>
      </c>
      <c r="I55" s="16"/>
      <c r="J55" s="85"/>
    </row>
    <row r="56" spans="1:11">
      <c r="A56" t="s">
        <v>84</v>
      </c>
      <c r="B56" s="36" t="s">
        <v>559</v>
      </c>
      <c r="C56" s="81">
        <v>25853613.030000001</v>
      </c>
      <c r="D56" s="83">
        <v>25927316</v>
      </c>
      <c r="E56" s="45">
        <v>26872230.309999999</v>
      </c>
      <c r="F56" s="16">
        <f t="shared" si="3"/>
        <v>26387489.326666664</v>
      </c>
      <c r="G56" s="3">
        <f t="shared" si="2"/>
        <v>2.8341235457362592E-3</v>
      </c>
      <c r="I56" s="16"/>
      <c r="J56" s="85"/>
    </row>
    <row r="57" spans="1:11">
      <c r="A57" t="s">
        <v>85</v>
      </c>
      <c r="B57" t="s">
        <v>86</v>
      </c>
      <c r="C57" s="81">
        <v>15493670.02</v>
      </c>
      <c r="D57" s="83">
        <v>17806772.300000001</v>
      </c>
      <c r="E57" s="45">
        <v>18738043</v>
      </c>
      <c r="F57" s="16">
        <f t="shared" si="3"/>
        <v>17886890.603333335</v>
      </c>
      <c r="G57" s="3">
        <f t="shared" si="2"/>
        <v>1.9211247114626271E-3</v>
      </c>
      <c r="I57" s="16"/>
      <c r="J57" s="85"/>
    </row>
    <row r="58" spans="1:11">
      <c r="A58" t="s">
        <v>87</v>
      </c>
      <c r="B58" t="s">
        <v>88</v>
      </c>
      <c r="C58" s="81">
        <v>523696288</v>
      </c>
      <c r="D58" s="83">
        <v>621594048</v>
      </c>
      <c r="E58" s="45">
        <v>520500706</v>
      </c>
      <c r="F58" s="16">
        <f t="shared" si="3"/>
        <v>554731083.66666663</v>
      </c>
      <c r="G58" s="3">
        <f t="shared" si="2"/>
        <v>5.9580371831081363E-2</v>
      </c>
      <c r="I58" s="16"/>
      <c r="J58" s="85"/>
    </row>
    <row r="59" spans="1:11">
      <c r="A59" t="s">
        <v>89</v>
      </c>
      <c r="B59" s="36" t="s">
        <v>557</v>
      </c>
      <c r="C59" s="81">
        <v>2040259</v>
      </c>
      <c r="D59" s="83">
        <v>2254088.0099999998</v>
      </c>
      <c r="E59" s="45">
        <v>2539258.2000000002</v>
      </c>
      <c r="F59" s="16">
        <f t="shared" si="3"/>
        <v>2361034.936666667</v>
      </c>
      <c r="G59" s="3">
        <f t="shared" si="2"/>
        <v>2.535847432650843E-4</v>
      </c>
      <c r="I59" s="16"/>
      <c r="J59" s="85"/>
    </row>
    <row r="60" spans="1:11">
      <c r="A60" t="s">
        <v>90</v>
      </c>
      <c r="B60" t="s">
        <v>91</v>
      </c>
      <c r="C60" s="81">
        <v>673802</v>
      </c>
      <c r="D60" s="83">
        <v>726540</v>
      </c>
      <c r="E60" s="45">
        <v>781753</v>
      </c>
      <c r="F60" s="16">
        <f t="shared" si="3"/>
        <v>745356.83333333337</v>
      </c>
      <c r="G60" s="3">
        <f t="shared" si="2"/>
        <v>8.0054351710931215E-5</v>
      </c>
      <c r="I60" s="16"/>
      <c r="J60" s="85"/>
    </row>
    <row r="61" spans="1:11">
      <c r="A61" t="s">
        <v>92</v>
      </c>
      <c r="B61" t="s">
        <v>93</v>
      </c>
      <c r="C61" s="81">
        <v>1480868.58</v>
      </c>
      <c r="D61" s="83">
        <v>1505898.93</v>
      </c>
      <c r="E61" s="45">
        <v>1612509.28</v>
      </c>
      <c r="F61" s="16">
        <f t="shared" si="3"/>
        <v>1555032.38</v>
      </c>
      <c r="G61" s="3">
        <f t="shared" si="2"/>
        <v>1.6701679451127291E-4</v>
      </c>
      <c r="I61" s="16"/>
      <c r="J61" s="85"/>
    </row>
    <row r="62" spans="1:11">
      <c r="A62" t="s">
        <v>490</v>
      </c>
      <c r="B62" t="s">
        <v>491</v>
      </c>
      <c r="C62" s="45">
        <v>7321767.0700000003</v>
      </c>
      <c r="D62" s="84">
        <v>7326210.0499999998</v>
      </c>
      <c r="E62" s="45">
        <v>8193085.5999999996</v>
      </c>
      <c r="F62" s="16">
        <f t="shared" si="3"/>
        <v>7758907.3283333331</v>
      </c>
      <c r="G62" s="3">
        <f t="shared" si="2"/>
        <v>8.33338165529555E-4</v>
      </c>
      <c r="I62" s="16"/>
      <c r="J62" s="85"/>
    </row>
    <row r="63" spans="1:11">
      <c r="A63" t="s">
        <v>94</v>
      </c>
      <c r="B63" t="s">
        <v>492</v>
      </c>
      <c r="C63" s="45">
        <v>3599447.3</v>
      </c>
      <c r="D63" s="84">
        <v>3599447.3</v>
      </c>
      <c r="E63" s="45">
        <v>3642006.43</v>
      </c>
      <c r="F63" s="16">
        <f t="shared" si="3"/>
        <v>3620726.8649999998</v>
      </c>
      <c r="G63" s="3">
        <f t="shared" si="2"/>
        <v>3.888807735264975E-4</v>
      </c>
      <c r="I63" s="16"/>
      <c r="J63" s="85"/>
    </row>
    <row r="64" spans="1:11">
      <c r="A64" t="s">
        <v>95</v>
      </c>
      <c r="B64" t="s">
        <v>96</v>
      </c>
      <c r="C64" s="45">
        <v>15680841.49</v>
      </c>
      <c r="D64" s="84">
        <v>16485945</v>
      </c>
      <c r="E64" s="45">
        <v>16579068</v>
      </c>
      <c r="F64" s="16">
        <f t="shared" si="3"/>
        <v>16398322.581666669</v>
      </c>
      <c r="G64" s="3">
        <f t="shared" si="2"/>
        <v>1.7612464590298683E-3</v>
      </c>
      <c r="I64" s="16"/>
      <c r="J64" s="85"/>
    </row>
    <row r="65" spans="1:10">
      <c r="A65" t="s">
        <v>97</v>
      </c>
      <c r="B65" t="s">
        <v>98</v>
      </c>
      <c r="C65" s="45">
        <f>17343893+202500</f>
        <v>17546393</v>
      </c>
      <c r="D65" s="84">
        <f>20170706+216203.5</f>
        <v>20386909.5</v>
      </c>
      <c r="E65" s="45">
        <f>23918957+220644.76</f>
        <v>24139601.760000002</v>
      </c>
      <c r="F65" s="16">
        <f t="shared" si="3"/>
        <v>21789836.213333335</v>
      </c>
      <c r="G65" s="3">
        <f t="shared" si="2"/>
        <v>2.340316924639593E-3</v>
      </c>
      <c r="I65" s="16"/>
      <c r="J65" s="85"/>
    </row>
    <row r="66" spans="1:10">
      <c r="A66" t="s">
        <v>99</v>
      </c>
      <c r="B66" t="s">
        <v>100</v>
      </c>
      <c r="C66" s="45">
        <v>73081305.950000003</v>
      </c>
      <c r="D66" s="84">
        <v>74118257.420000002</v>
      </c>
      <c r="E66" s="45">
        <v>77054933.719999999</v>
      </c>
      <c r="F66" s="16">
        <f t="shared" si="3"/>
        <v>75413770.325000003</v>
      </c>
      <c r="G66" s="3">
        <f t="shared" si="2"/>
        <v>8.0997452809894906E-3</v>
      </c>
      <c r="I66" s="16"/>
      <c r="J66" s="85"/>
    </row>
    <row r="67" spans="1:10">
      <c r="A67" t="s">
        <v>101</v>
      </c>
      <c r="B67" t="s">
        <v>534</v>
      </c>
      <c r="C67" s="45">
        <v>42734138.530000001</v>
      </c>
      <c r="D67" s="84">
        <v>42198069.380000003</v>
      </c>
      <c r="E67" s="45">
        <v>42401137.700000003</v>
      </c>
      <c r="F67" s="16">
        <f t="shared" si="3"/>
        <v>42388948.398333333</v>
      </c>
      <c r="G67" s="3">
        <f t="shared" si="2"/>
        <v>4.552745251641249E-3</v>
      </c>
      <c r="I67" s="16"/>
      <c r="J67" s="85"/>
    </row>
    <row r="68" spans="1:10">
      <c r="A68" t="s">
        <v>102</v>
      </c>
      <c r="B68" t="s">
        <v>103</v>
      </c>
      <c r="C68" s="45">
        <v>1282475</v>
      </c>
      <c r="D68" s="84">
        <v>1312180</v>
      </c>
      <c r="E68" s="45">
        <v>1451966.59</v>
      </c>
      <c r="F68" s="16">
        <f t="shared" si="3"/>
        <v>1377122.4616666667</v>
      </c>
      <c r="G68" s="3">
        <f t="shared" si="2"/>
        <v>1.479085465712553E-4</v>
      </c>
      <c r="I68" s="16"/>
      <c r="J68" s="85"/>
    </row>
    <row r="69" spans="1:10">
      <c r="A69" t="s">
        <v>104</v>
      </c>
      <c r="B69" t="s">
        <v>105</v>
      </c>
      <c r="C69" s="45">
        <v>2363610</v>
      </c>
      <c r="D69" s="84">
        <v>2464201.85</v>
      </c>
      <c r="E69" s="45">
        <v>2520085.79</v>
      </c>
      <c r="F69" s="16">
        <f t="shared" si="3"/>
        <v>2475378.5116666667</v>
      </c>
      <c r="G69" s="3">
        <f t="shared" ref="G69:G97" si="4">+F69/$F$264</f>
        <v>2.6586570770999142E-4</v>
      </c>
      <c r="I69" s="16"/>
      <c r="J69" s="85"/>
    </row>
    <row r="70" spans="1:10">
      <c r="A70" t="s">
        <v>106</v>
      </c>
      <c r="B70" t="s">
        <v>107</v>
      </c>
      <c r="C70" s="45">
        <v>31825478</v>
      </c>
      <c r="D70" s="84">
        <v>34094821</v>
      </c>
      <c r="E70" s="45">
        <v>35259736</v>
      </c>
      <c r="F70" s="16">
        <f t="shared" si="3"/>
        <v>34299054.666666664</v>
      </c>
      <c r="G70" s="3">
        <f t="shared" si="4"/>
        <v>3.6838578018507776E-3</v>
      </c>
      <c r="I70" s="16"/>
      <c r="J70" s="85"/>
    </row>
    <row r="71" spans="1:10">
      <c r="A71" t="s">
        <v>108</v>
      </c>
      <c r="B71" t="s">
        <v>109</v>
      </c>
      <c r="C71" s="45">
        <v>1304771</v>
      </c>
      <c r="D71" s="84">
        <v>1309679</v>
      </c>
      <c r="E71" s="45">
        <v>1417055</v>
      </c>
      <c r="F71" s="16">
        <f t="shared" si="3"/>
        <v>1362549</v>
      </c>
      <c r="G71" s="3">
        <f t="shared" si="4"/>
        <v>1.463432975875013E-4</v>
      </c>
      <c r="I71" s="16"/>
      <c r="J71" s="85"/>
    </row>
    <row r="72" spans="1:10">
      <c r="A72" t="s">
        <v>110</v>
      </c>
      <c r="B72" t="s">
        <v>111</v>
      </c>
      <c r="C72" s="45">
        <v>1846115.77</v>
      </c>
      <c r="D72" s="84">
        <v>1983976.69</v>
      </c>
      <c r="E72" s="45">
        <v>2046704.43</v>
      </c>
      <c r="F72" s="16">
        <f t="shared" si="3"/>
        <v>1992363.7400000002</v>
      </c>
      <c r="G72" s="3">
        <f t="shared" si="4"/>
        <v>2.139879591158682E-4</v>
      </c>
      <c r="I72" s="16"/>
      <c r="J72" s="85"/>
    </row>
    <row r="73" spans="1:10">
      <c r="A73" t="s">
        <v>112</v>
      </c>
      <c r="B73" t="s">
        <v>113</v>
      </c>
      <c r="C73" s="45">
        <v>233263</v>
      </c>
      <c r="D73" s="84">
        <v>236180</v>
      </c>
      <c r="E73" s="45">
        <v>293761</v>
      </c>
      <c r="F73" s="16">
        <f t="shared" si="3"/>
        <v>264484.33333333331</v>
      </c>
      <c r="G73" s="3">
        <f t="shared" si="4"/>
        <v>2.8406691796208347E-5</v>
      </c>
      <c r="I73" s="16"/>
      <c r="J73" s="85"/>
    </row>
    <row r="74" spans="1:10">
      <c r="A74" t="s">
        <v>114</v>
      </c>
      <c r="B74" t="s">
        <v>115</v>
      </c>
      <c r="C74" s="45">
        <v>4261569</v>
      </c>
      <c r="D74" s="84">
        <v>4848530</v>
      </c>
      <c r="E74" s="45">
        <v>5003555.6500000004</v>
      </c>
      <c r="F74" s="16">
        <f t="shared" si="3"/>
        <v>4828215.9916666672</v>
      </c>
      <c r="G74" s="3">
        <f t="shared" si="4"/>
        <v>5.185700108291209E-4</v>
      </c>
      <c r="I74" s="16"/>
      <c r="J74" s="85"/>
    </row>
    <row r="75" spans="1:10">
      <c r="A75" t="s">
        <v>116</v>
      </c>
      <c r="B75" t="s">
        <v>117</v>
      </c>
      <c r="C75" s="45">
        <v>1797913.23</v>
      </c>
      <c r="D75" s="84">
        <v>1846905.66</v>
      </c>
      <c r="E75" s="45">
        <v>2085443.85</v>
      </c>
      <c r="F75" s="16">
        <f t="shared" si="3"/>
        <v>1958009.3500000003</v>
      </c>
      <c r="G75" s="3">
        <f t="shared" si="4"/>
        <v>2.102981580744326E-4</v>
      </c>
      <c r="I75" s="16"/>
      <c r="J75" s="85"/>
    </row>
    <row r="76" spans="1:10">
      <c r="A76" t="s">
        <v>118</v>
      </c>
      <c r="B76" t="s">
        <v>119</v>
      </c>
      <c r="C76" s="45">
        <v>10907453</v>
      </c>
      <c r="D76" s="84">
        <v>12775047</v>
      </c>
      <c r="E76" s="45">
        <v>13092800.810000001</v>
      </c>
      <c r="F76" s="16">
        <f t="shared" si="3"/>
        <v>12622658.238333335</v>
      </c>
      <c r="G76" s="3">
        <f t="shared" si="4"/>
        <v>1.3557247709386894E-3</v>
      </c>
      <c r="I76" s="16"/>
      <c r="J76" s="85"/>
    </row>
    <row r="77" spans="1:10">
      <c r="A77" t="s">
        <v>120</v>
      </c>
      <c r="B77" t="s">
        <v>121</v>
      </c>
      <c r="C77" s="45">
        <v>1325851</v>
      </c>
      <c r="D77" s="84">
        <v>1480261</v>
      </c>
      <c r="E77" s="45">
        <v>1438648</v>
      </c>
      <c r="F77" s="16">
        <f t="shared" si="3"/>
        <v>1433719.5</v>
      </c>
      <c r="G77" s="3">
        <f t="shared" si="4"/>
        <v>1.5398729839844553E-4</v>
      </c>
      <c r="I77" s="16"/>
      <c r="J77" s="85"/>
    </row>
    <row r="78" spans="1:10">
      <c r="A78" t="s">
        <v>122</v>
      </c>
      <c r="B78" t="s">
        <v>123</v>
      </c>
      <c r="C78" s="45">
        <v>2740400.85</v>
      </c>
      <c r="D78" s="84">
        <v>2897316.31</v>
      </c>
      <c r="E78" s="45">
        <v>2830910.48</v>
      </c>
      <c r="F78" s="16">
        <f t="shared" si="3"/>
        <v>2837960.8183333334</v>
      </c>
      <c r="G78" s="3">
        <f t="shared" si="4"/>
        <v>3.0480852033873553E-4</v>
      </c>
      <c r="I78" s="16"/>
      <c r="J78" s="85"/>
    </row>
    <row r="79" spans="1:10">
      <c r="A79" t="s">
        <v>124</v>
      </c>
      <c r="B79" t="s">
        <v>499</v>
      </c>
      <c r="C79" s="45">
        <v>1435328.57</v>
      </c>
      <c r="D79" s="84">
        <v>1560443.57</v>
      </c>
      <c r="E79" s="45">
        <v>1611303</v>
      </c>
      <c r="F79" s="16">
        <f t="shared" si="3"/>
        <v>1565020.7850000001</v>
      </c>
      <c r="G79" s="3">
        <f t="shared" si="4"/>
        <v>1.6808958978347196E-4</v>
      </c>
      <c r="I79" s="16"/>
      <c r="J79" s="85"/>
    </row>
    <row r="80" spans="1:10">
      <c r="A80" t="s">
        <v>125</v>
      </c>
      <c r="B80" t="s">
        <v>126</v>
      </c>
      <c r="C80" s="45">
        <v>5714819</v>
      </c>
      <c r="D80" s="84">
        <v>6050066</v>
      </c>
      <c r="E80" s="45">
        <v>6103569</v>
      </c>
      <c r="F80" s="16">
        <f t="shared" si="3"/>
        <v>6020943</v>
      </c>
      <c r="G80" s="3">
        <f t="shared" si="4"/>
        <v>6.4667373665562328E-4</v>
      </c>
      <c r="I80" s="16"/>
      <c r="J80" s="85"/>
    </row>
    <row r="81" spans="1:12">
      <c r="A81" t="s">
        <v>482</v>
      </c>
      <c r="B81" t="s">
        <v>535</v>
      </c>
      <c r="C81" s="45">
        <v>408315.96</v>
      </c>
      <c r="D81" s="84">
        <v>401857.13</v>
      </c>
      <c r="E81" s="45">
        <v>423541.93</v>
      </c>
      <c r="F81" s="16">
        <f>IF(C81&gt;0,(+C81+(D81*2)+(E81*3))/6,IF(D81&gt;0,((D81*2)+(E81*3))/5,E81))</f>
        <v>413776.00166666665</v>
      </c>
      <c r="G81" s="3">
        <f t="shared" si="4"/>
        <v>4.4441223432310641E-5</v>
      </c>
      <c r="I81" s="16"/>
      <c r="J81" s="85"/>
    </row>
    <row r="82" spans="1:12">
      <c r="A82" t="s">
        <v>127</v>
      </c>
      <c r="B82" t="s">
        <v>493</v>
      </c>
      <c r="C82" s="45">
        <v>7991361</v>
      </c>
      <c r="D82" s="84">
        <v>8189024</v>
      </c>
      <c r="E82" s="45">
        <v>9846976</v>
      </c>
      <c r="F82" s="16">
        <f t="shared" si="3"/>
        <v>8985056.166666666</v>
      </c>
      <c r="G82" s="3">
        <f t="shared" si="4"/>
        <v>9.6503153166521986E-4</v>
      </c>
      <c r="I82" s="16"/>
      <c r="J82" s="85"/>
    </row>
    <row r="83" spans="1:12">
      <c r="A83" t="s">
        <v>128</v>
      </c>
      <c r="B83" t="s">
        <v>129</v>
      </c>
      <c r="C83" s="45">
        <v>1979347</v>
      </c>
      <c r="D83" s="84">
        <v>2625092</v>
      </c>
      <c r="E83" s="45">
        <v>2686150</v>
      </c>
      <c r="F83" s="16">
        <f t="shared" si="3"/>
        <v>2547996.8333333335</v>
      </c>
      <c r="G83" s="3">
        <f t="shared" si="4"/>
        <v>2.7366521044932033E-4</v>
      </c>
      <c r="I83" s="16"/>
      <c r="J83" s="85"/>
    </row>
    <row r="84" spans="1:12">
      <c r="A84" t="s">
        <v>130</v>
      </c>
      <c r="B84" t="s">
        <v>536</v>
      </c>
      <c r="C84" s="45">
        <v>5464875</v>
      </c>
      <c r="D84" s="84">
        <v>6217491</v>
      </c>
      <c r="E84" s="45">
        <v>6565428</v>
      </c>
      <c r="F84" s="16">
        <f t="shared" si="3"/>
        <v>6266023.5</v>
      </c>
      <c r="G84" s="3">
        <f t="shared" si="4"/>
        <v>6.7299637792899672E-4</v>
      </c>
      <c r="I84" s="16"/>
      <c r="J84" s="85"/>
    </row>
    <row r="85" spans="1:12">
      <c r="A85" t="s">
        <v>131</v>
      </c>
      <c r="B85" t="s">
        <v>132</v>
      </c>
      <c r="C85" s="45">
        <v>534172</v>
      </c>
      <c r="D85" s="84">
        <v>634519</v>
      </c>
      <c r="E85" s="45">
        <v>626381</v>
      </c>
      <c r="F85" s="16">
        <f t="shared" si="3"/>
        <v>613725.5</v>
      </c>
      <c r="G85" s="3">
        <f t="shared" si="4"/>
        <v>6.5916611794172571E-5</v>
      </c>
      <c r="I85" s="16"/>
      <c r="J85" s="85"/>
    </row>
    <row r="86" spans="1:12">
      <c r="A86" t="s">
        <v>133</v>
      </c>
      <c r="B86" t="s">
        <v>134</v>
      </c>
      <c r="C86" s="45">
        <v>549684</v>
      </c>
      <c r="D86" s="84">
        <v>535182</v>
      </c>
      <c r="E86" s="45">
        <v>611985</v>
      </c>
      <c r="F86" s="16">
        <f t="shared" si="3"/>
        <v>576000.5</v>
      </c>
      <c r="G86" s="3">
        <f t="shared" si="4"/>
        <v>6.1864793546543678E-5</v>
      </c>
      <c r="I86" s="16"/>
      <c r="J86" s="85"/>
    </row>
    <row r="87" spans="1:12">
      <c r="A87" t="s">
        <v>135</v>
      </c>
      <c r="B87" t="s">
        <v>136</v>
      </c>
      <c r="C87" s="45">
        <v>295629</v>
      </c>
      <c r="D87" s="84">
        <v>308737</v>
      </c>
      <c r="E87" s="45">
        <v>324946</v>
      </c>
      <c r="F87" s="16">
        <f t="shared" si="3"/>
        <v>314656.83333333331</v>
      </c>
      <c r="G87" s="3">
        <f t="shared" si="4"/>
        <v>3.3795422108445857E-5</v>
      </c>
      <c r="I87" s="16"/>
      <c r="J87" s="85"/>
    </row>
    <row r="88" spans="1:12">
      <c r="A88" t="s">
        <v>137</v>
      </c>
      <c r="B88" t="s">
        <v>138</v>
      </c>
      <c r="C88" s="45">
        <v>4186298.57</v>
      </c>
      <c r="D88" s="84">
        <v>4642486.4800000004</v>
      </c>
      <c r="E88" s="45">
        <v>5214508.3499999996</v>
      </c>
      <c r="F88" s="16">
        <f t="shared" si="3"/>
        <v>4852466.0966666667</v>
      </c>
      <c r="G88" s="3">
        <f t="shared" si="4"/>
        <v>5.2117457061562626E-4</v>
      </c>
      <c r="I88" s="16"/>
      <c r="J88" s="85"/>
    </row>
    <row r="89" spans="1:12">
      <c r="A89" t="s">
        <v>139</v>
      </c>
      <c r="B89" t="s">
        <v>140</v>
      </c>
      <c r="C89" s="45">
        <v>648852</v>
      </c>
      <c r="D89" s="84">
        <v>607195</v>
      </c>
      <c r="E89" s="45">
        <v>678149</v>
      </c>
      <c r="F89" s="16">
        <f t="shared" si="3"/>
        <v>649614.83333333337</v>
      </c>
      <c r="G89" s="3">
        <f t="shared" si="4"/>
        <v>6.9771271984901147E-5</v>
      </c>
      <c r="I89" s="16"/>
      <c r="J89" s="45"/>
      <c r="K89" s="84"/>
      <c r="L89" s="45"/>
    </row>
    <row r="90" spans="1:12">
      <c r="A90" s="50" t="s">
        <v>141</v>
      </c>
      <c r="B90" s="50" t="s">
        <v>142</v>
      </c>
      <c r="C90" s="45">
        <f>467633110.92+151754002+567322161+408367786.5+27082538.43</f>
        <v>1622159598.8500001</v>
      </c>
      <c r="D90" s="84">
        <f>490420605.67+153040227.83+575515716.24+422888870.01+30645693.54</f>
        <v>1672511113.29</v>
      </c>
      <c r="E90" s="45">
        <f>510114433.18+158410222.26+590771943.8+430337621.17+30532154.88</f>
        <v>1720166375.2900002</v>
      </c>
      <c r="F90" s="16">
        <f t="shared" ref="F90:F93" si="5">IF(C90&gt;0,(+C90+(D90*2)+(E90*3))/6,IF(D90&gt;0,((D90*2)+(E90*3))/5,E90))</f>
        <v>1687946825.2166669</v>
      </c>
      <c r="G90" s="3">
        <f t="shared" si="4"/>
        <v>0.18129234585659726</v>
      </c>
      <c r="I90" s="16"/>
      <c r="J90" s="45"/>
      <c r="K90" s="84"/>
      <c r="L90" s="45"/>
    </row>
    <row r="91" spans="1:12">
      <c r="A91" t="s">
        <v>143</v>
      </c>
      <c r="B91" t="s">
        <v>485</v>
      </c>
      <c r="C91" s="45">
        <v>424293102.07939994</v>
      </c>
      <c r="D91" s="84">
        <v>480115865.45999998</v>
      </c>
      <c r="E91" s="45">
        <v>478337093.11999995</v>
      </c>
      <c r="F91" s="16">
        <f>IF(C91&gt;0,(+C91+(D91*2)+(E91*3))/6,IF(D91&gt;0,((D91*2)+(E91*3))/5,E91))</f>
        <v>469922685.3932333</v>
      </c>
      <c r="G91" s="3">
        <f t="shared" si="4"/>
        <v>5.0471605345290112E-2</v>
      </c>
      <c r="I91" s="16"/>
      <c r="J91" s="85"/>
      <c r="K91" s="85"/>
      <c r="L91" s="85"/>
    </row>
    <row r="92" spans="1:12">
      <c r="A92" t="s">
        <v>144</v>
      </c>
      <c r="B92" t="s">
        <v>145</v>
      </c>
      <c r="C92" s="45">
        <v>842415</v>
      </c>
      <c r="D92" s="84">
        <v>849932</v>
      </c>
      <c r="E92" s="45">
        <v>992311</v>
      </c>
      <c r="F92" s="16">
        <f>IF(C92&gt;0,(+C92+(D92*2)+(E92*3))/6,IF(D92&gt;0,((D92*2)+(E92*3))/5,E92))</f>
        <v>919868.66666666663</v>
      </c>
      <c r="G92" s="3">
        <f t="shared" si="4"/>
        <v>9.8797631518145797E-5</v>
      </c>
      <c r="I92" s="16"/>
      <c r="J92" s="85"/>
      <c r="K92" s="85"/>
      <c r="L92" s="85"/>
    </row>
    <row r="93" spans="1:12">
      <c r="A93" t="s">
        <v>484</v>
      </c>
      <c r="B93" t="s">
        <v>489</v>
      </c>
      <c r="C93" s="45">
        <v>72064903.5</v>
      </c>
      <c r="D93" s="84">
        <v>74627447.649000004</v>
      </c>
      <c r="E93" s="45">
        <v>75941933.148000002</v>
      </c>
      <c r="F93" s="16">
        <f t="shared" si="5"/>
        <v>74857599.707000002</v>
      </c>
      <c r="G93" s="3">
        <f t="shared" si="4"/>
        <v>8.0400102973232895E-3</v>
      </c>
      <c r="I93" s="16"/>
      <c r="J93" s="85"/>
      <c r="K93" s="85"/>
      <c r="L93" s="85"/>
    </row>
    <row r="94" spans="1:12">
      <c r="A94" t="s">
        <v>506</v>
      </c>
      <c r="B94" t="s">
        <v>547</v>
      </c>
      <c r="C94" s="45">
        <v>2208371.4900000002</v>
      </c>
      <c r="D94" s="84">
        <v>2933449.03</v>
      </c>
      <c r="E94" s="45">
        <v>3395525.8</v>
      </c>
      <c r="F94" s="16">
        <f>IF(C94&gt;0,(+C94+(D94*2)+(E94*3))/6,IF(D94&gt;0,((D94*2)+(E94*3))/5,E94))</f>
        <v>3043641.1583333332</v>
      </c>
      <c r="G94" s="3">
        <f t="shared" si="4"/>
        <v>3.2689942437559469E-4</v>
      </c>
      <c r="I94" s="16"/>
      <c r="J94" s="85"/>
      <c r="K94" s="85"/>
      <c r="L94" s="85"/>
    </row>
    <row r="95" spans="1:12">
      <c r="A95" t="s">
        <v>146</v>
      </c>
      <c r="B95" t="s">
        <v>147</v>
      </c>
      <c r="C95" s="45">
        <v>31131951.559999999</v>
      </c>
      <c r="D95" s="84">
        <v>33561554.359999999</v>
      </c>
      <c r="E95" s="45">
        <v>33425724.789999999</v>
      </c>
      <c r="F95" s="16">
        <f t="shared" si="3"/>
        <v>33088705.775000002</v>
      </c>
      <c r="G95" s="3">
        <f t="shared" si="4"/>
        <v>3.5538614141701315E-3</v>
      </c>
      <c r="I95" s="16"/>
      <c r="J95" s="85"/>
    </row>
    <row r="96" spans="1:12">
      <c r="A96" t="s">
        <v>148</v>
      </c>
      <c r="B96" t="s">
        <v>149</v>
      </c>
      <c r="C96" s="45">
        <v>7007661.9299999997</v>
      </c>
      <c r="D96" s="84">
        <v>7910204.96</v>
      </c>
      <c r="E96" s="45">
        <v>8799446</v>
      </c>
      <c r="F96" s="16">
        <f t="shared" si="3"/>
        <v>8204401.6416666666</v>
      </c>
      <c r="G96" s="3">
        <f t="shared" si="4"/>
        <v>8.8118606448194469E-4</v>
      </c>
      <c r="I96" s="16"/>
      <c r="J96" s="85"/>
    </row>
    <row r="97" spans="1:10">
      <c r="A97" t="s">
        <v>150</v>
      </c>
      <c r="B97" t="s">
        <v>151</v>
      </c>
      <c r="C97" s="45">
        <v>793257</v>
      </c>
      <c r="D97" s="84">
        <v>821035</v>
      </c>
      <c r="E97" s="45">
        <v>939809</v>
      </c>
      <c r="F97" s="16">
        <f t="shared" si="3"/>
        <v>875792.33333333337</v>
      </c>
      <c r="G97" s="3">
        <f t="shared" si="4"/>
        <v>9.406365426993975E-5</v>
      </c>
      <c r="I97" s="16"/>
      <c r="J97" s="85"/>
    </row>
    <row r="98" spans="1:10">
      <c r="A98" t="s">
        <v>152</v>
      </c>
      <c r="B98" t="s">
        <v>153</v>
      </c>
      <c r="C98" s="45">
        <v>14158227</v>
      </c>
      <c r="D98" s="84">
        <v>15968095</v>
      </c>
      <c r="E98" s="45">
        <v>20901124</v>
      </c>
      <c r="F98" s="16">
        <f t="shared" si="3"/>
        <v>18132964.833333332</v>
      </c>
      <c r="G98" s="3">
        <f t="shared" ref="G98:G129" si="6">+F98/$F$264</f>
        <v>1.94755408337476E-3</v>
      </c>
      <c r="I98" s="16"/>
      <c r="J98" s="85"/>
    </row>
    <row r="99" spans="1:10">
      <c r="A99" t="s">
        <v>154</v>
      </c>
      <c r="B99" t="s">
        <v>479</v>
      </c>
      <c r="C99" s="45">
        <v>152631356</v>
      </c>
      <c r="D99" s="84">
        <v>158251322.55000001</v>
      </c>
      <c r="E99" s="45">
        <v>164118259</v>
      </c>
      <c r="F99" s="16">
        <f t="shared" si="3"/>
        <v>160248129.68333334</v>
      </c>
      <c r="G99" s="3">
        <f t="shared" si="6"/>
        <v>1.7211300092758904E-2</v>
      </c>
      <c r="I99" s="16"/>
      <c r="J99" s="85"/>
    </row>
    <row r="100" spans="1:10">
      <c r="A100" t="s">
        <v>155</v>
      </c>
      <c r="B100" t="s">
        <v>537</v>
      </c>
      <c r="C100" s="45">
        <v>3689739.49</v>
      </c>
      <c r="D100" s="84">
        <v>3792505</v>
      </c>
      <c r="E100" s="45">
        <v>4091443</v>
      </c>
      <c r="F100" s="16">
        <f>IF(C100&gt;0,(+C100+(D100*2)+(E100*3))/6,IF(D100&gt;0,((D100*2)+(E100*3))/5,E100))</f>
        <v>3924846.4150000005</v>
      </c>
      <c r="G100" s="3">
        <f t="shared" si="6"/>
        <v>4.2154444860007434E-4</v>
      </c>
      <c r="I100" s="16"/>
      <c r="J100" s="85"/>
    </row>
    <row r="101" spans="1:10">
      <c r="A101" t="s">
        <v>509</v>
      </c>
      <c r="B101" t="s">
        <v>510</v>
      </c>
      <c r="C101" s="45">
        <v>36290229</v>
      </c>
      <c r="D101" s="84">
        <v>37402144.950000003</v>
      </c>
      <c r="E101" s="45">
        <v>38518297</v>
      </c>
      <c r="F101" s="16">
        <f>IF(C101&gt;0,(+C101+(D101*2)+(E101*3))/6,IF(D101&gt;0,((D101*2)+(E101*3))/5,E101))</f>
        <v>37774901.649999999</v>
      </c>
      <c r="G101" s="3">
        <f t="shared" si="6"/>
        <v>4.0571778875508656E-3</v>
      </c>
      <c r="I101" s="16"/>
      <c r="J101" s="85"/>
    </row>
    <row r="102" spans="1:10">
      <c r="A102" s="36" t="s">
        <v>553</v>
      </c>
      <c r="B102" t="s">
        <v>554</v>
      </c>
      <c r="C102" s="45">
        <v>111900882</v>
      </c>
      <c r="D102" s="84">
        <v>110665442.08</v>
      </c>
      <c r="E102" s="45">
        <v>118261982</v>
      </c>
      <c r="F102" s="16">
        <f t="shared" ref="F102:F142" si="7">IF(C102&gt;0,(+C102+(D102*2)+(E102*3))/6,IF(D102&gt;0,((D102*2)+(E102*3))/5,E102))</f>
        <v>114669618.69333333</v>
      </c>
      <c r="G102" s="3">
        <f t="shared" si="6"/>
        <v>1.2315982862035627E-2</v>
      </c>
      <c r="I102" s="16"/>
      <c r="J102" s="85"/>
    </row>
    <row r="103" spans="1:10">
      <c r="A103" t="s">
        <v>156</v>
      </c>
      <c r="B103" t="s">
        <v>157</v>
      </c>
      <c r="C103" s="45">
        <v>1397561040</v>
      </c>
      <c r="D103" s="84">
        <v>1386760413</v>
      </c>
      <c r="E103" s="45">
        <v>1542244519</v>
      </c>
      <c r="F103" s="16">
        <f t="shared" si="7"/>
        <v>1466302570.5</v>
      </c>
      <c r="G103" s="3">
        <f t="shared" si="6"/>
        <v>0.15748685253007386</v>
      </c>
      <c r="I103" s="16"/>
      <c r="J103" s="85"/>
    </row>
    <row r="104" spans="1:10">
      <c r="A104" t="s">
        <v>514</v>
      </c>
      <c r="B104" t="s">
        <v>513</v>
      </c>
      <c r="C104" s="45">
        <v>47658309</v>
      </c>
      <c r="D104" s="84">
        <v>48327524</v>
      </c>
      <c r="E104" s="45">
        <v>51240710</v>
      </c>
      <c r="F104" s="16">
        <f t="shared" si="7"/>
        <v>49672581.166666664</v>
      </c>
      <c r="G104" s="3">
        <f t="shared" si="6"/>
        <v>5.3350369987522012E-3</v>
      </c>
      <c r="I104" s="16"/>
      <c r="J104" s="85"/>
    </row>
    <row r="105" spans="1:10">
      <c r="A105" t="s">
        <v>158</v>
      </c>
      <c r="B105" t="s">
        <v>159</v>
      </c>
      <c r="C105" s="45">
        <v>56966165</v>
      </c>
      <c r="D105" s="84">
        <v>63278463</v>
      </c>
      <c r="E105" s="45">
        <v>65188308</v>
      </c>
      <c r="F105" s="16">
        <f t="shared" si="7"/>
        <v>63181335.833333336</v>
      </c>
      <c r="G105" s="3">
        <f t="shared" si="6"/>
        <v>6.7859321256214349E-3</v>
      </c>
      <c r="I105" s="16"/>
      <c r="J105" s="85"/>
    </row>
    <row r="106" spans="1:10">
      <c r="A106" t="s">
        <v>160</v>
      </c>
      <c r="B106" t="s">
        <v>161</v>
      </c>
      <c r="C106" s="45">
        <v>73668884.859999999</v>
      </c>
      <c r="D106" s="84">
        <v>64607969.649999999</v>
      </c>
      <c r="E106" s="45">
        <v>69354957.329999998</v>
      </c>
      <c r="F106" s="16">
        <f t="shared" si="7"/>
        <v>68491616.024999991</v>
      </c>
      <c r="G106" s="3">
        <f t="shared" si="6"/>
        <v>7.3562777897862369E-3</v>
      </c>
      <c r="I106" s="16"/>
      <c r="J106" s="85"/>
    </row>
    <row r="107" spans="1:10">
      <c r="A107" t="s">
        <v>162</v>
      </c>
      <c r="B107" t="s">
        <v>163</v>
      </c>
      <c r="C107" s="45">
        <v>70354484</v>
      </c>
      <c r="D107" s="84">
        <v>72042583</v>
      </c>
      <c r="E107" s="45">
        <v>74286855</v>
      </c>
      <c r="F107" s="16">
        <f t="shared" si="7"/>
        <v>72883369.166666672</v>
      </c>
      <c r="G107" s="3">
        <f t="shared" si="6"/>
        <v>7.827969917512851E-3</v>
      </c>
      <c r="I107" s="16"/>
      <c r="J107" s="85"/>
    </row>
    <row r="108" spans="1:10">
      <c r="A108" t="s">
        <v>164</v>
      </c>
      <c r="B108" t="s">
        <v>165</v>
      </c>
      <c r="C108" s="45">
        <v>428419797.19</v>
      </c>
      <c r="D108" s="84">
        <v>447304648</v>
      </c>
      <c r="E108" s="45">
        <v>471560142</v>
      </c>
      <c r="F108" s="16">
        <f t="shared" si="7"/>
        <v>456284919.86500001</v>
      </c>
      <c r="G108" s="3">
        <f t="shared" si="6"/>
        <v>4.9006853927816819E-2</v>
      </c>
      <c r="I108" s="16"/>
      <c r="J108" s="85"/>
    </row>
    <row r="109" spans="1:10">
      <c r="A109" t="s">
        <v>166</v>
      </c>
      <c r="B109" t="s">
        <v>167</v>
      </c>
      <c r="C109" s="45">
        <v>96567036.549999997</v>
      </c>
      <c r="D109" s="84">
        <v>105880411.29000001</v>
      </c>
      <c r="E109" s="45">
        <v>109837149</v>
      </c>
      <c r="F109" s="16">
        <f t="shared" si="7"/>
        <v>106306551.02166666</v>
      </c>
      <c r="G109" s="3">
        <f t="shared" si="6"/>
        <v>1.1417755421393767E-2</v>
      </c>
      <c r="I109" s="16"/>
      <c r="J109" s="85"/>
    </row>
    <row r="110" spans="1:10">
      <c r="A110" t="s">
        <v>168</v>
      </c>
      <c r="B110" t="s">
        <v>169</v>
      </c>
      <c r="C110" s="45">
        <v>343603102.13999999</v>
      </c>
      <c r="D110" s="84">
        <v>357758649.97000003</v>
      </c>
      <c r="E110" s="45">
        <v>374339751.19</v>
      </c>
      <c r="F110" s="16">
        <f t="shared" si="7"/>
        <v>363689942.60833335</v>
      </c>
      <c r="G110" s="3">
        <f t="shared" si="6"/>
        <v>3.9061777228351129E-2</v>
      </c>
      <c r="I110" s="16"/>
      <c r="J110" s="85"/>
    </row>
    <row r="111" spans="1:10">
      <c r="A111" t="s">
        <v>170</v>
      </c>
      <c r="B111" t="s">
        <v>171</v>
      </c>
      <c r="C111" s="45">
        <v>79631386</v>
      </c>
      <c r="D111" s="84">
        <v>83415602</v>
      </c>
      <c r="E111" s="45">
        <v>92184423</v>
      </c>
      <c r="F111" s="16">
        <f t="shared" si="7"/>
        <v>87169309.833333328</v>
      </c>
      <c r="G111" s="3">
        <f t="shared" si="6"/>
        <v>9.3623379778904128E-3</v>
      </c>
      <c r="I111" s="16"/>
      <c r="J111" s="85"/>
    </row>
    <row r="112" spans="1:10">
      <c r="A112" t="s">
        <v>172</v>
      </c>
      <c r="B112" t="s">
        <v>173</v>
      </c>
      <c r="C112" s="45">
        <v>37388036.119999997</v>
      </c>
      <c r="D112" s="84">
        <v>39781931.210000001</v>
      </c>
      <c r="E112" s="45">
        <v>40741379.369999997</v>
      </c>
      <c r="F112" s="16">
        <f t="shared" si="7"/>
        <v>39862672.774999999</v>
      </c>
      <c r="G112" s="3">
        <f t="shared" si="6"/>
        <v>4.2814129873824805E-3</v>
      </c>
      <c r="I112" s="16"/>
      <c r="J112" s="85"/>
    </row>
    <row r="113" spans="1:11">
      <c r="A113" t="s">
        <v>174</v>
      </c>
      <c r="B113" t="s">
        <v>175</v>
      </c>
      <c r="C113" s="45">
        <v>42289006</v>
      </c>
      <c r="D113" s="84">
        <v>42492967</v>
      </c>
      <c r="E113" s="45">
        <v>44695026</v>
      </c>
      <c r="F113" s="16">
        <f t="shared" si="7"/>
        <v>43560003</v>
      </c>
      <c r="G113" s="3">
        <f t="shared" si="6"/>
        <v>4.6785212729534495E-3</v>
      </c>
      <c r="I113" s="16"/>
      <c r="J113" s="85"/>
    </row>
    <row r="114" spans="1:11">
      <c r="A114" t="s">
        <v>176</v>
      </c>
      <c r="B114" t="s">
        <v>538</v>
      </c>
      <c r="C114" s="45">
        <v>273629210.82999998</v>
      </c>
      <c r="D114" s="84">
        <v>293090359.48000002</v>
      </c>
      <c r="E114" s="45">
        <v>312570021</v>
      </c>
      <c r="F114" s="16">
        <f t="shared" si="7"/>
        <v>299586665.46499997</v>
      </c>
      <c r="G114" s="3">
        <f t="shared" si="6"/>
        <v>3.2176824860897985E-2</v>
      </c>
      <c r="I114" s="16"/>
      <c r="J114" s="85"/>
    </row>
    <row r="115" spans="1:11">
      <c r="A115" t="s">
        <v>177</v>
      </c>
      <c r="B115" t="s">
        <v>178</v>
      </c>
      <c r="C115" s="45">
        <v>261814199.12</v>
      </c>
      <c r="D115" s="84">
        <v>258986104</v>
      </c>
      <c r="E115" s="45">
        <v>268634576</v>
      </c>
      <c r="F115" s="16">
        <f t="shared" si="7"/>
        <v>264281689.18666664</v>
      </c>
      <c r="G115" s="3">
        <f t="shared" si="6"/>
        <v>2.8384926991669203E-2</v>
      </c>
      <c r="I115" s="16"/>
      <c r="J115" s="85"/>
    </row>
    <row r="116" spans="1:11">
      <c r="A116" t="s">
        <v>179</v>
      </c>
      <c r="B116" t="s">
        <v>180</v>
      </c>
      <c r="C116" s="45">
        <v>126197682.26000001</v>
      </c>
      <c r="D116" s="84">
        <v>134355214.22</v>
      </c>
      <c r="E116" s="45">
        <v>140044796.69</v>
      </c>
      <c r="F116" s="16">
        <f t="shared" si="7"/>
        <v>135840416.79499999</v>
      </c>
      <c r="G116" s="3">
        <f t="shared" si="6"/>
        <v>1.4589812578806996E-2</v>
      </c>
      <c r="I116" s="16"/>
      <c r="J116" s="85"/>
    </row>
    <row r="117" spans="1:11">
      <c r="A117" t="s">
        <v>181</v>
      </c>
      <c r="B117" s="36" t="s">
        <v>558</v>
      </c>
      <c r="C117" s="45">
        <v>223766682</v>
      </c>
      <c r="D117" s="84">
        <v>238218512</v>
      </c>
      <c r="E117" s="45">
        <v>253920997</v>
      </c>
      <c r="F117" s="16">
        <f t="shared" si="7"/>
        <v>243661116.16666666</v>
      </c>
      <c r="G117" s="3">
        <f t="shared" si="6"/>
        <v>2.6170193683809701E-2</v>
      </c>
      <c r="I117" s="16"/>
      <c r="J117" s="85"/>
    </row>
    <row r="118" spans="1:11">
      <c r="A118" t="s">
        <v>182</v>
      </c>
      <c r="B118" t="s">
        <v>183</v>
      </c>
      <c r="C118" s="45">
        <v>90580196</v>
      </c>
      <c r="D118" s="84">
        <v>92441464</v>
      </c>
      <c r="E118" s="45">
        <v>94897311</v>
      </c>
      <c r="F118" s="16">
        <f t="shared" si="7"/>
        <v>93359176.166666672</v>
      </c>
      <c r="G118" s="3">
        <f t="shared" si="6"/>
        <v>1.0027154766751478E-2</v>
      </c>
      <c r="I118" s="16"/>
      <c r="J118" s="85"/>
    </row>
    <row r="119" spans="1:11">
      <c r="A119" s="87" t="s">
        <v>184</v>
      </c>
      <c r="B119" s="87" t="s">
        <v>185</v>
      </c>
      <c r="C119" s="88">
        <v>21732910</v>
      </c>
      <c r="D119" s="89">
        <f>18490501+3853593</f>
        <v>22344094</v>
      </c>
      <c r="E119" s="88">
        <f>18777466+4108790</f>
        <v>22886256</v>
      </c>
      <c r="F119" s="90">
        <f t="shared" si="7"/>
        <v>22513311</v>
      </c>
      <c r="G119" s="91">
        <f t="shared" si="6"/>
        <v>2.4180210556486166E-3</v>
      </c>
      <c r="I119" s="16"/>
      <c r="J119" s="85"/>
    </row>
    <row r="120" spans="1:11">
      <c r="A120" t="s">
        <v>186</v>
      </c>
      <c r="B120" t="s">
        <v>539</v>
      </c>
      <c r="C120" s="45">
        <v>3587599.55</v>
      </c>
      <c r="D120" s="84">
        <v>4012145</v>
      </c>
      <c r="E120" s="45">
        <v>4544469.29</v>
      </c>
      <c r="F120" s="16">
        <f t="shared" si="7"/>
        <v>4207549.57</v>
      </c>
      <c r="G120" s="3">
        <f t="shared" si="6"/>
        <v>4.5190791585232766E-4</v>
      </c>
      <c r="I120" s="16"/>
      <c r="J120" s="85"/>
    </row>
    <row r="121" spans="1:11">
      <c r="A121" t="s">
        <v>187</v>
      </c>
      <c r="B121" t="s">
        <v>188</v>
      </c>
      <c r="C121" s="45">
        <v>53370848.109999999</v>
      </c>
      <c r="D121" s="84">
        <v>58060076.030000001</v>
      </c>
      <c r="E121" s="45">
        <v>64174457.259999998</v>
      </c>
      <c r="F121" s="16">
        <f t="shared" si="7"/>
        <v>60335728.658333339</v>
      </c>
      <c r="G121" s="3">
        <f t="shared" si="6"/>
        <v>6.4803023555154394E-3</v>
      </c>
      <c r="I121" s="16"/>
      <c r="J121" s="85"/>
    </row>
    <row r="122" spans="1:11">
      <c r="A122" t="s">
        <v>189</v>
      </c>
      <c r="B122" t="s">
        <v>190</v>
      </c>
      <c r="C122" s="45">
        <v>127505915</v>
      </c>
      <c r="D122" s="84">
        <v>136047165</v>
      </c>
      <c r="E122" s="45">
        <v>137441071.78999999</v>
      </c>
      <c r="F122" s="16">
        <f t="shared" si="7"/>
        <v>135320576.72833332</v>
      </c>
      <c r="G122" s="3">
        <f t="shared" si="6"/>
        <v>1.4533979643937054E-2</v>
      </c>
      <c r="I122" s="16"/>
      <c r="J122" s="85"/>
    </row>
    <row r="123" spans="1:11">
      <c r="A123" t="s">
        <v>191</v>
      </c>
      <c r="B123" t="s">
        <v>540</v>
      </c>
      <c r="C123" s="45">
        <v>25038000</v>
      </c>
      <c r="D123" s="84">
        <v>26001159</v>
      </c>
      <c r="E123" s="45">
        <v>26095187</v>
      </c>
      <c r="F123" s="16">
        <f t="shared" si="7"/>
        <v>25887646.5</v>
      </c>
      <c r="G123" s="3">
        <f t="shared" si="6"/>
        <v>2.7804383956757054E-3</v>
      </c>
      <c r="I123" s="16"/>
      <c r="J123" s="85"/>
    </row>
    <row r="124" spans="1:11">
      <c r="A124" t="s">
        <v>480</v>
      </c>
      <c r="B124" t="s">
        <v>481</v>
      </c>
      <c r="C124" s="45">
        <v>27289342.510000002</v>
      </c>
      <c r="D124" s="84">
        <v>33092754.039999999</v>
      </c>
      <c r="E124" s="45">
        <v>37436210</v>
      </c>
      <c r="F124" s="16">
        <f>IF(C124&gt;0,(+C124+(D124*2)+(E124*3))/6,IF(D124&gt;0,((D124*2)+(E124*3))/5,E124))</f>
        <v>34297246.765000001</v>
      </c>
      <c r="G124" s="3">
        <f t="shared" si="6"/>
        <v>3.6836636258676652E-3</v>
      </c>
      <c r="I124" s="16"/>
      <c r="J124" s="85"/>
    </row>
    <row r="125" spans="1:11">
      <c r="A125" t="s">
        <v>192</v>
      </c>
      <c r="B125" t="s">
        <v>500</v>
      </c>
      <c r="C125" s="45">
        <v>17432278</v>
      </c>
      <c r="D125" s="84">
        <v>18796767</v>
      </c>
      <c r="E125" s="45">
        <v>18839580</v>
      </c>
      <c r="F125" s="16">
        <f t="shared" si="7"/>
        <v>18590758.666666668</v>
      </c>
      <c r="G125" s="3">
        <f t="shared" si="6"/>
        <v>1.9967230007386298E-3</v>
      </c>
      <c r="I125" s="16"/>
      <c r="J125" s="85"/>
    </row>
    <row r="126" spans="1:11">
      <c r="A126" t="s">
        <v>193</v>
      </c>
      <c r="B126" t="s">
        <v>194</v>
      </c>
      <c r="C126" s="45">
        <v>19616181</v>
      </c>
      <c r="D126" s="84">
        <v>19749357</v>
      </c>
      <c r="E126" s="45">
        <v>23069474.93</v>
      </c>
      <c r="F126" s="16">
        <f t="shared" si="7"/>
        <v>21387219.965</v>
      </c>
      <c r="G126" s="3">
        <f t="shared" si="6"/>
        <v>2.2970743040487676E-3</v>
      </c>
      <c r="I126" s="16"/>
      <c r="J126" s="85"/>
    </row>
    <row r="127" spans="1:11">
      <c r="A127" t="s">
        <v>551</v>
      </c>
      <c r="B127" t="s">
        <v>552</v>
      </c>
      <c r="C127" s="45">
        <v>10047820</v>
      </c>
      <c r="D127" s="84">
        <v>10633499</v>
      </c>
      <c r="E127" s="45">
        <v>13804680</v>
      </c>
      <c r="F127" s="16">
        <f>IF(C127&gt;0,(+C127+(D127*2)+(E127*3))/6,IF(D127&gt;0,((D127*2)+(E127*3))/5,E127))</f>
        <v>12121476.333333334</v>
      </c>
      <c r="G127" s="3">
        <f t="shared" si="6"/>
        <v>1.301895798425491E-3</v>
      </c>
      <c r="I127" s="16"/>
      <c r="J127" s="85"/>
    </row>
    <row r="128" spans="1:11" s="50" customFormat="1">
      <c r="A128" s="52" t="s">
        <v>571</v>
      </c>
      <c r="B128" s="52" t="s">
        <v>563</v>
      </c>
      <c r="C128" s="45">
        <v>106956701.19</v>
      </c>
      <c r="D128" s="84">
        <v>109979140.55</v>
      </c>
      <c r="E128" s="45">
        <v>117092304</v>
      </c>
      <c r="F128" s="16">
        <f>IF(C128&gt;0,(+C128+(D128*2)+(E128*3))/6,IF(D128&gt;0,((D128*2)+(E128*3))/5,E128))</f>
        <v>113031982.38166666</v>
      </c>
      <c r="G128" s="53">
        <f t="shared" si="6"/>
        <v>1.214009406970718E-2</v>
      </c>
      <c r="I128" s="16"/>
      <c r="J128" s="85"/>
      <c r="K128" s="86"/>
    </row>
    <row r="129" spans="1:10">
      <c r="A129" t="s">
        <v>195</v>
      </c>
      <c r="B129" t="s">
        <v>196</v>
      </c>
      <c r="C129" s="45">
        <v>14865661</v>
      </c>
      <c r="D129" s="84">
        <v>14968601</v>
      </c>
      <c r="E129" s="45">
        <v>15882490</v>
      </c>
      <c r="F129" s="16">
        <f t="shared" si="7"/>
        <v>15408388.833333334</v>
      </c>
      <c r="G129" s="3">
        <f t="shared" si="6"/>
        <v>1.6549235531202417E-3</v>
      </c>
      <c r="I129" s="16"/>
      <c r="J129" s="85"/>
    </row>
    <row r="130" spans="1:10">
      <c r="A130" t="s">
        <v>197</v>
      </c>
      <c r="B130" t="s">
        <v>541</v>
      </c>
      <c r="C130" s="45">
        <v>6979241</v>
      </c>
      <c r="D130" s="84">
        <v>7149917</v>
      </c>
      <c r="E130" s="45">
        <v>7436752</v>
      </c>
      <c r="F130" s="16">
        <f t="shared" si="7"/>
        <v>7264888.5</v>
      </c>
      <c r="G130" s="3">
        <f t="shared" ref="G130:G161" si="8">+F130/$F$264</f>
        <v>7.8027853654842215E-4</v>
      </c>
      <c r="I130" s="16"/>
      <c r="J130" s="85"/>
    </row>
    <row r="131" spans="1:10">
      <c r="A131" t="s">
        <v>198</v>
      </c>
      <c r="B131" t="s">
        <v>199</v>
      </c>
      <c r="C131" s="45">
        <v>62346909</v>
      </c>
      <c r="D131" s="84">
        <v>66599668</v>
      </c>
      <c r="E131" s="45">
        <v>72271882</v>
      </c>
      <c r="F131" s="16">
        <f t="shared" si="7"/>
        <v>68726981.833333328</v>
      </c>
      <c r="G131" s="3">
        <f t="shared" si="8"/>
        <v>7.381557033711298E-3</v>
      </c>
      <c r="I131" s="16"/>
      <c r="J131" s="85"/>
    </row>
    <row r="132" spans="1:10">
      <c r="A132" t="s">
        <v>200</v>
      </c>
      <c r="B132" t="s">
        <v>542</v>
      </c>
      <c r="C132" s="45">
        <v>8049346.29</v>
      </c>
      <c r="D132" s="84">
        <v>7957601.3600000003</v>
      </c>
      <c r="E132" s="45">
        <v>7932271.4199999999</v>
      </c>
      <c r="F132" s="16">
        <f t="shared" si="7"/>
        <v>7960227.211666666</v>
      </c>
      <c r="G132" s="3">
        <f t="shared" si="8"/>
        <v>8.5496073880723608E-4</v>
      </c>
      <c r="I132" s="16"/>
      <c r="J132" s="85"/>
    </row>
    <row r="133" spans="1:10">
      <c r="A133" t="s">
        <v>201</v>
      </c>
      <c r="B133" t="s">
        <v>543</v>
      </c>
      <c r="C133" s="45">
        <v>10741401.26</v>
      </c>
      <c r="D133" s="84">
        <v>10313327.550000001</v>
      </c>
      <c r="E133" s="45">
        <v>9461812.7599999998</v>
      </c>
      <c r="F133" s="16">
        <f t="shared" si="7"/>
        <v>9958915.7733333334</v>
      </c>
      <c r="G133" s="3">
        <f t="shared" si="8"/>
        <v>1.0696280094629851E-3</v>
      </c>
      <c r="I133" s="16"/>
      <c r="J133" s="85"/>
    </row>
    <row r="134" spans="1:10">
      <c r="A134" t="s">
        <v>202</v>
      </c>
      <c r="B134" t="s">
        <v>501</v>
      </c>
      <c r="C134" s="45">
        <v>10801813.35</v>
      </c>
      <c r="D134" s="84">
        <v>10891738</v>
      </c>
      <c r="E134" s="45">
        <v>11686272</v>
      </c>
      <c r="F134" s="16">
        <f t="shared" si="7"/>
        <v>11274017.558333332</v>
      </c>
      <c r="G134" s="3">
        <f t="shared" si="8"/>
        <v>1.2108752834179832E-3</v>
      </c>
      <c r="I134" s="16"/>
      <c r="J134" s="85"/>
    </row>
    <row r="135" spans="1:10">
      <c r="A135" t="s">
        <v>203</v>
      </c>
      <c r="B135" t="s">
        <v>544</v>
      </c>
      <c r="C135" s="45">
        <v>140943219</v>
      </c>
      <c r="D135" s="84">
        <v>151816718</v>
      </c>
      <c r="E135" s="45">
        <v>158767187</v>
      </c>
      <c r="F135" s="16">
        <f t="shared" si="7"/>
        <v>153479702.66666666</v>
      </c>
      <c r="G135" s="3">
        <f t="shared" si="8"/>
        <v>1.6484343536261239E-2</v>
      </c>
      <c r="I135" s="16"/>
      <c r="J135" s="85"/>
    </row>
    <row r="136" spans="1:10">
      <c r="A136" t="s">
        <v>204</v>
      </c>
      <c r="B136" t="s">
        <v>205</v>
      </c>
      <c r="C136" s="45">
        <v>8159804</v>
      </c>
      <c r="D136" s="84">
        <v>9250603.0999999996</v>
      </c>
      <c r="E136" s="45">
        <v>10726903.369999999</v>
      </c>
      <c r="F136" s="16">
        <f t="shared" si="7"/>
        <v>9806953.3849999998</v>
      </c>
      <c r="G136" s="3">
        <f t="shared" si="8"/>
        <v>1.0533066316498036E-3</v>
      </c>
      <c r="I136" s="16"/>
      <c r="J136" s="85"/>
    </row>
    <row r="137" spans="1:10">
      <c r="A137" t="s">
        <v>206</v>
      </c>
      <c r="B137" t="s">
        <v>207</v>
      </c>
      <c r="C137" s="45">
        <v>9216657.9199999999</v>
      </c>
      <c r="D137" s="84">
        <v>9674342.3200000003</v>
      </c>
      <c r="E137" s="45">
        <v>11419883.6</v>
      </c>
      <c r="F137" s="16">
        <f t="shared" si="7"/>
        <v>10470832.226666667</v>
      </c>
      <c r="G137" s="3">
        <f t="shared" si="8"/>
        <v>1.1246099160733881E-3</v>
      </c>
      <c r="I137" s="16"/>
      <c r="J137" s="85"/>
    </row>
    <row r="138" spans="1:10">
      <c r="A138" t="s">
        <v>208</v>
      </c>
      <c r="B138" t="s">
        <v>209</v>
      </c>
      <c r="C138" s="45">
        <v>738554</v>
      </c>
      <c r="D138" s="84">
        <v>816466.88</v>
      </c>
      <c r="E138" s="45">
        <v>846981.12</v>
      </c>
      <c r="F138" s="16">
        <f t="shared" si="7"/>
        <v>818738.5199999999</v>
      </c>
      <c r="G138" s="3">
        <f t="shared" si="8"/>
        <v>8.7935842952224384E-5</v>
      </c>
      <c r="I138" s="16"/>
      <c r="J138" s="85"/>
    </row>
    <row r="139" spans="1:10">
      <c r="A139" t="s">
        <v>210</v>
      </c>
      <c r="B139" t="s">
        <v>461</v>
      </c>
      <c r="C139" s="45">
        <v>834555</v>
      </c>
      <c r="D139" s="84">
        <v>939233</v>
      </c>
      <c r="E139" s="45">
        <v>936140</v>
      </c>
      <c r="F139" s="16">
        <f t="shared" si="7"/>
        <v>920240.16666666663</v>
      </c>
      <c r="G139" s="3">
        <f t="shared" si="8"/>
        <v>9.8837532127264265E-5</v>
      </c>
      <c r="I139" s="16"/>
      <c r="J139" s="85"/>
    </row>
    <row r="140" spans="1:10" outlineLevel="1">
      <c r="A140" t="s">
        <v>211</v>
      </c>
      <c r="B140" t="s">
        <v>212</v>
      </c>
      <c r="C140" s="70">
        <v>891213.72782368073</v>
      </c>
      <c r="D140" s="45">
        <v>876191.33</v>
      </c>
      <c r="E140" s="45">
        <v>900250.48619999993</v>
      </c>
      <c r="F140" s="16">
        <f t="shared" si="7"/>
        <v>890724.64107061329</v>
      </c>
      <c r="G140" s="3">
        <f t="shared" si="8"/>
        <v>9.5667444779392927E-5</v>
      </c>
      <c r="I140" s="16"/>
      <c r="J140" s="85"/>
    </row>
    <row r="141" spans="1:10" outlineLevel="1">
      <c r="A141" t="s">
        <v>213</v>
      </c>
      <c r="B141" t="s">
        <v>214</v>
      </c>
      <c r="C141" s="70">
        <v>217499.7307630757</v>
      </c>
      <c r="D141" s="45">
        <v>228315.6</v>
      </c>
      <c r="E141" s="45">
        <v>231697.5111</v>
      </c>
      <c r="F141" s="16">
        <f t="shared" si="7"/>
        <v>228203.91067717932</v>
      </c>
      <c r="G141" s="3">
        <f t="shared" si="8"/>
        <v>2.4510027023514032E-5</v>
      </c>
      <c r="I141" s="16"/>
      <c r="J141" s="85"/>
    </row>
    <row r="142" spans="1:10" outlineLevel="1">
      <c r="A142" t="s">
        <v>215</v>
      </c>
      <c r="B142" t="s">
        <v>216</v>
      </c>
      <c r="C142" s="70">
        <v>1301128.1275195563</v>
      </c>
      <c r="D142" s="45">
        <v>1334714.3999999999</v>
      </c>
      <c r="E142" s="45">
        <v>1329511.1255999999</v>
      </c>
      <c r="F142" s="16">
        <f t="shared" si="7"/>
        <v>1326515.0507199259</v>
      </c>
      <c r="G142" s="3">
        <f t="shared" si="8"/>
        <v>1.4247310505662952E-4</v>
      </c>
      <c r="I142" s="16"/>
      <c r="J142" s="85"/>
    </row>
    <row r="143" spans="1:10" outlineLevel="1">
      <c r="A143" t="s">
        <v>504</v>
      </c>
      <c r="B143" t="s">
        <v>502</v>
      </c>
      <c r="C143" s="71">
        <v>956130.22283524065</v>
      </c>
      <c r="D143" s="45">
        <v>949989.84</v>
      </c>
      <c r="E143" s="45">
        <v>1051129.2035999999</v>
      </c>
      <c r="F143" s="16">
        <f t="shared" ref="F143:F174" si="9">IF(C143&gt;0,(+C143+(D143*2)+(E144*3))/6,IF(D143&gt;0,((D143*2)+(E144*3))/5,E144))</f>
        <v>1102391.5289392069</v>
      </c>
      <c r="G143" s="3">
        <f t="shared" si="8"/>
        <v>1.1840132837607375E-4</v>
      </c>
      <c r="I143" s="16"/>
      <c r="J143" s="85"/>
    </row>
    <row r="144" spans="1:10" outlineLevel="1">
      <c r="A144" t="s">
        <v>217</v>
      </c>
      <c r="B144" t="s">
        <v>218</v>
      </c>
      <c r="C144" s="71">
        <v>1303387.703538212</v>
      </c>
      <c r="D144" s="45">
        <v>1305355.17</v>
      </c>
      <c r="E144" s="45">
        <v>1252746.4236000001</v>
      </c>
      <c r="F144" s="16">
        <f t="shared" si="9"/>
        <v>692387.43392303528</v>
      </c>
      <c r="G144" s="3">
        <f t="shared" si="8"/>
        <v>7.4365223040378847E-5</v>
      </c>
      <c r="I144" s="16"/>
      <c r="J144" s="85"/>
    </row>
    <row r="145" spans="1:10" outlineLevel="1">
      <c r="A145" t="s">
        <v>219</v>
      </c>
      <c r="B145" t="s">
        <v>220</v>
      </c>
      <c r="C145" s="71">
        <v>106988.25003758</v>
      </c>
      <c r="D145" s="45">
        <v>86935.66</v>
      </c>
      <c r="E145" s="45">
        <v>80075.520000000004</v>
      </c>
      <c r="F145" s="16">
        <f t="shared" si="9"/>
        <v>1774499.6641395967</v>
      </c>
      <c r="G145" s="3">
        <f t="shared" si="8"/>
        <v>1.9058847235446367E-4</v>
      </c>
      <c r="I145" s="16"/>
      <c r="J145" s="85"/>
    </row>
    <row r="146" spans="1:10" outlineLevel="1">
      <c r="A146" t="s">
        <v>221</v>
      </c>
      <c r="B146" t="s">
        <v>222</v>
      </c>
      <c r="C146" s="71">
        <v>3308583.0675492426</v>
      </c>
      <c r="D146" s="45">
        <v>3340665.42</v>
      </c>
      <c r="E146" s="45">
        <v>3455379.4716000003</v>
      </c>
      <c r="F146" s="16">
        <f t="shared" si="9"/>
        <v>11350702.041858206</v>
      </c>
      <c r="G146" s="3">
        <f t="shared" si="8"/>
        <v>1.2191115084585686E-3</v>
      </c>
      <c r="I146" s="16"/>
      <c r="J146" s="85"/>
    </row>
    <row r="147" spans="1:10" outlineLevel="1">
      <c r="A147" t="s">
        <v>223</v>
      </c>
      <c r="B147" t="s">
        <v>224</v>
      </c>
      <c r="C147" s="71">
        <v>18939554.115294266</v>
      </c>
      <c r="D147" s="45">
        <v>19243414.829999998</v>
      </c>
      <c r="E147" s="45">
        <v>19371432.781199999</v>
      </c>
      <c r="F147" s="16">
        <f t="shared" si="9"/>
        <v>10897375.586949043</v>
      </c>
      <c r="G147" s="3">
        <f t="shared" si="8"/>
        <v>1.1704224056849739E-3</v>
      </c>
      <c r="I147" s="16"/>
      <c r="J147" s="85"/>
    </row>
    <row r="148" spans="1:10" outlineLevel="1">
      <c r="A148" t="s">
        <v>225</v>
      </c>
      <c r="B148" t="s">
        <v>226</v>
      </c>
      <c r="C148" s="71">
        <v>2778779.3269556956</v>
      </c>
      <c r="D148" s="45">
        <v>2769676.72</v>
      </c>
      <c r="E148" s="45">
        <v>2652623.2488000002</v>
      </c>
      <c r="F148" s="16">
        <f t="shared" si="9"/>
        <v>3041992.8649592828</v>
      </c>
      <c r="G148" s="3">
        <f t="shared" si="8"/>
        <v>3.2672239097147481E-4</v>
      </c>
      <c r="I148" s="16"/>
      <c r="J148" s="85"/>
    </row>
    <row r="149" spans="1:10" outlineLevel="1">
      <c r="A149" t="s">
        <v>227</v>
      </c>
      <c r="B149" t="s">
        <v>228</v>
      </c>
      <c r="C149" s="71">
        <v>2979272.9020785983</v>
      </c>
      <c r="D149" s="45">
        <v>3103762.13</v>
      </c>
      <c r="E149" s="45">
        <v>3311274.8075999999</v>
      </c>
      <c r="F149" s="16">
        <f t="shared" si="9"/>
        <v>2627103.352246433</v>
      </c>
      <c r="G149" s="3">
        <f t="shared" si="8"/>
        <v>2.8216157192946604E-4</v>
      </c>
      <c r="I149" s="16"/>
      <c r="J149" s="85"/>
    </row>
    <row r="150" spans="1:10" outlineLevel="1">
      <c r="A150" t="s">
        <v>229</v>
      </c>
      <c r="B150" t="s">
        <v>230</v>
      </c>
      <c r="C150" s="71">
        <v>2193159.5979859335</v>
      </c>
      <c r="D150" s="45">
        <v>2079475.11</v>
      </c>
      <c r="E150" s="45">
        <v>2191940.9838</v>
      </c>
      <c r="F150" s="16">
        <f t="shared" si="9"/>
        <v>1343850.1201143221</v>
      </c>
      <c r="G150" s="3">
        <f t="shared" si="8"/>
        <v>1.443349619286276E-4</v>
      </c>
      <c r="I150" s="16"/>
      <c r="J150" s="85"/>
    </row>
    <row r="151" spans="1:10" outlineLevel="1">
      <c r="A151" t="s">
        <v>231</v>
      </c>
      <c r="B151" t="s">
        <v>232</v>
      </c>
      <c r="C151" s="71">
        <v>546774.56245496275</v>
      </c>
      <c r="D151" s="45">
        <v>497819.16</v>
      </c>
      <c r="E151" s="45">
        <v>570330.30089999991</v>
      </c>
      <c r="F151" s="16">
        <f t="shared" si="9"/>
        <v>1059474.0402924938</v>
      </c>
      <c r="G151" s="3">
        <f t="shared" si="8"/>
        <v>1.1379181575470442E-4</v>
      </c>
      <c r="I151" s="16"/>
      <c r="J151" s="85"/>
    </row>
    <row r="152" spans="1:10" outlineLevel="1">
      <c r="A152" t="s">
        <v>233</v>
      </c>
      <c r="B152" t="s">
        <v>234</v>
      </c>
      <c r="C152" s="71">
        <v>1504096.9229197782</v>
      </c>
      <c r="D152" s="45">
        <v>1546678.96</v>
      </c>
      <c r="E152" s="45">
        <v>1604810.4531</v>
      </c>
      <c r="F152" s="16">
        <f t="shared" si="9"/>
        <v>2672784.3707199623</v>
      </c>
      <c r="G152" s="3">
        <f t="shared" si="8"/>
        <v>2.8706789888032934E-4</v>
      </c>
      <c r="I152" s="16"/>
      <c r="J152" s="85"/>
    </row>
    <row r="153" spans="1:10" outlineLevel="1">
      <c r="A153" t="s">
        <v>235</v>
      </c>
      <c r="B153" t="s">
        <v>236</v>
      </c>
      <c r="C153" s="71">
        <v>3912074.075960536</v>
      </c>
      <c r="D153" s="45">
        <v>3933569.97</v>
      </c>
      <c r="E153" s="45">
        <v>3813083.7937999992</v>
      </c>
      <c r="F153" s="16">
        <f t="shared" si="9"/>
        <v>4899785.4257434234</v>
      </c>
      <c r="G153" s="3">
        <f t="shared" si="8"/>
        <v>5.2625685878047068E-4</v>
      </c>
      <c r="I153" s="16"/>
      <c r="J153" s="85"/>
    </row>
    <row r="154" spans="1:10" outlineLevel="1">
      <c r="A154" t="s">
        <v>237</v>
      </c>
      <c r="B154" t="s">
        <v>238</v>
      </c>
      <c r="C154" s="71">
        <v>5852503.7103347993</v>
      </c>
      <c r="D154" s="45">
        <v>6014763.4100000001</v>
      </c>
      <c r="E154" s="45">
        <v>5873166.1795000006</v>
      </c>
      <c r="F154" s="16">
        <f t="shared" si="9"/>
        <v>3273997.1897224667</v>
      </c>
      <c r="G154" s="3">
        <f t="shared" si="8"/>
        <v>3.5164059790598206E-4</v>
      </c>
      <c r="I154" s="16"/>
      <c r="J154" s="85"/>
    </row>
    <row r="155" spans="1:10" outlineLevel="1">
      <c r="A155" t="s">
        <v>239</v>
      </c>
      <c r="B155" t="s">
        <v>240</v>
      </c>
      <c r="C155" s="71">
        <v>524138.01635826216</v>
      </c>
      <c r="D155" s="45">
        <v>507457.19</v>
      </c>
      <c r="E155" s="45">
        <v>587317.53600000008</v>
      </c>
      <c r="F155" s="16">
        <f t="shared" si="9"/>
        <v>478977.96197637706</v>
      </c>
      <c r="G155" s="3">
        <f t="shared" si="8"/>
        <v>5.1444178834936454E-5</v>
      </c>
      <c r="I155" s="16"/>
      <c r="J155" s="85"/>
    </row>
    <row r="156" spans="1:10" outlineLevel="1">
      <c r="A156" t="s">
        <v>241</v>
      </c>
      <c r="B156" t="s">
        <v>242</v>
      </c>
      <c r="C156" s="71">
        <v>458915.20835976105</v>
      </c>
      <c r="D156" s="45">
        <v>450497.65</v>
      </c>
      <c r="E156" s="45">
        <v>444938.45850000001</v>
      </c>
      <c r="F156" s="16">
        <f t="shared" si="9"/>
        <v>427249.10364329349</v>
      </c>
      <c r="G156" s="3">
        <f t="shared" si="8"/>
        <v>4.5888289315440168E-5</v>
      </c>
      <c r="I156" s="16"/>
      <c r="J156" s="85"/>
    </row>
    <row r="157" spans="1:10" outlineLevel="1">
      <c r="A157" t="s">
        <v>243</v>
      </c>
      <c r="B157" t="s">
        <v>244</v>
      </c>
      <c r="C157" s="71">
        <v>370006.31344708067</v>
      </c>
      <c r="D157" s="45">
        <v>378983.2</v>
      </c>
      <c r="E157" s="45">
        <v>401194.70449999999</v>
      </c>
      <c r="F157" s="16">
        <f t="shared" si="9"/>
        <v>2487824.4996411805</v>
      </c>
      <c r="G157" s="3">
        <f t="shared" si="8"/>
        <v>2.6720245737692065E-4</v>
      </c>
      <c r="I157" s="16"/>
      <c r="J157" s="85"/>
    </row>
    <row r="158" spans="1:10" outlineLevel="1">
      <c r="A158" t="s">
        <v>245</v>
      </c>
      <c r="B158" t="s">
        <v>246</v>
      </c>
      <c r="C158" s="71">
        <v>4414674.8064839933</v>
      </c>
      <c r="D158" s="45">
        <v>4519767.9400000004</v>
      </c>
      <c r="E158" s="45">
        <v>4599658.0948000001</v>
      </c>
      <c r="F158" s="16">
        <f t="shared" si="9"/>
        <v>2410437.8469973323</v>
      </c>
      <c r="G158" s="3">
        <f t="shared" si="8"/>
        <v>2.5889081652058499E-4</v>
      </c>
      <c r="I158" s="16"/>
      <c r="J158" s="85"/>
    </row>
    <row r="159" spans="1:10" outlineLevel="1">
      <c r="A159" t="s">
        <v>247</v>
      </c>
      <c r="B159" t="s">
        <v>248</v>
      </c>
      <c r="C159" s="71">
        <v>307068.78836152237</v>
      </c>
      <c r="D159" s="45">
        <v>334734.3</v>
      </c>
      <c r="E159" s="45">
        <v>336138.79850000003</v>
      </c>
      <c r="F159" s="16">
        <f t="shared" si="9"/>
        <v>309128.23739358707</v>
      </c>
      <c r="G159" s="3">
        <f t="shared" si="8"/>
        <v>3.3201628446088513E-5</v>
      </c>
      <c r="I159" s="16"/>
      <c r="J159" s="85"/>
    </row>
    <row r="160" spans="1:10" outlineLevel="1">
      <c r="A160" t="s">
        <v>249</v>
      </c>
      <c r="B160" t="s">
        <v>250</v>
      </c>
      <c r="C160" s="71">
        <v>294842.15696826356</v>
      </c>
      <c r="D160" s="45">
        <v>282942.73</v>
      </c>
      <c r="E160" s="45">
        <v>292744.01200000005</v>
      </c>
      <c r="F160" s="16">
        <f t="shared" si="9"/>
        <v>334200.37902804394</v>
      </c>
      <c r="G160" s="3">
        <f t="shared" si="8"/>
        <v>3.5894478306436517E-5</v>
      </c>
      <c r="I160" s="16"/>
      <c r="J160" s="85"/>
    </row>
    <row r="161" spans="1:10" outlineLevel="1">
      <c r="A161" t="s">
        <v>251</v>
      </c>
      <c r="B161" t="s">
        <v>252</v>
      </c>
      <c r="C161" s="71">
        <v>385423.49416295934</v>
      </c>
      <c r="D161" s="45">
        <v>401151.89</v>
      </c>
      <c r="E161" s="45">
        <v>381491.55239999999</v>
      </c>
      <c r="F161" s="16">
        <f t="shared" si="9"/>
        <v>213505.50129382653</v>
      </c>
      <c r="G161" s="3">
        <f t="shared" si="8"/>
        <v>2.2931358147421562E-5</v>
      </c>
      <c r="I161" s="16"/>
      <c r="J161" s="85"/>
    </row>
    <row r="162" spans="1:10" outlineLevel="1">
      <c r="A162" t="s">
        <v>495</v>
      </c>
      <c r="B162" t="s">
        <v>496</v>
      </c>
      <c r="C162" s="71">
        <v>33079.316727496014</v>
      </c>
      <c r="D162" s="45">
        <v>56187.91</v>
      </c>
      <c r="E162" s="45">
        <v>31101.911200000002</v>
      </c>
      <c r="F162" s="16">
        <f t="shared" si="9"/>
        <v>13303599.368787916</v>
      </c>
      <c r="G162" s="3">
        <f t="shared" ref="G162:G193" si="10">+F162/$F$264</f>
        <v>1.4288606144890383E-3</v>
      </c>
      <c r="I162" s="16"/>
      <c r="J162" s="85"/>
    </row>
    <row r="163" spans="1:10" outlineLevel="1">
      <c r="A163" t="s">
        <v>253</v>
      </c>
      <c r="B163" t="s">
        <v>254</v>
      </c>
      <c r="C163" s="71">
        <v>28618505.657024723</v>
      </c>
      <c r="D163" s="45">
        <v>27743523.789999999</v>
      </c>
      <c r="E163" s="45">
        <v>26558713.692000002</v>
      </c>
      <c r="F163" s="16">
        <f t="shared" si="9"/>
        <v>14255134.499970786</v>
      </c>
      <c r="G163" s="3">
        <f t="shared" si="10"/>
        <v>1.5310593529326883E-3</v>
      </c>
      <c r="I163" s="16"/>
      <c r="J163" s="85"/>
    </row>
    <row r="164" spans="1:10" outlineLevel="1">
      <c r="A164" t="s">
        <v>255</v>
      </c>
      <c r="B164" t="s">
        <v>256</v>
      </c>
      <c r="C164" s="71">
        <v>468016.51102599385</v>
      </c>
      <c r="D164" s="45">
        <v>469779.9</v>
      </c>
      <c r="E164" s="45">
        <v>475084.58760000003</v>
      </c>
      <c r="F164" s="16">
        <f t="shared" si="9"/>
        <v>482721.56863766565</v>
      </c>
      <c r="G164" s="3">
        <f t="shared" si="10"/>
        <v>5.1846257397750349E-5</v>
      </c>
      <c r="I164" s="16"/>
      <c r="J164" s="85"/>
    </row>
    <row r="165" spans="1:10" outlineLevel="1">
      <c r="A165" t="s">
        <v>257</v>
      </c>
      <c r="B165" t="s">
        <v>258</v>
      </c>
      <c r="C165" s="71">
        <v>475414.47688094742</v>
      </c>
      <c r="D165" s="45">
        <v>450826.5</v>
      </c>
      <c r="E165" s="45">
        <v>496251.03360000002</v>
      </c>
      <c r="F165" s="16">
        <f t="shared" si="9"/>
        <v>2106065.3716968247</v>
      </c>
      <c r="G165" s="3">
        <f t="shared" si="10"/>
        <v>2.261999762422929E-4</v>
      </c>
      <c r="I165" s="16"/>
      <c r="J165" s="85"/>
    </row>
    <row r="166" spans="1:10" outlineLevel="1">
      <c r="A166" t="s">
        <v>259</v>
      </c>
      <c r="B166" t="s">
        <v>260</v>
      </c>
      <c r="C166" s="71">
        <v>3556165.7729647788</v>
      </c>
      <c r="D166" s="45">
        <v>3685221.4</v>
      </c>
      <c r="E166" s="45">
        <v>3753108.2511</v>
      </c>
      <c r="F166" s="16">
        <f t="shared" si="9"/>
        <v>2012386.0632774632</v>
      </c>
      <c r="G166" s="3">
        <f t="shared" si="10"/>
        <v>2.1613843797115115E-4</v>
      </c>
      <c r="I166" s="16"/>
      <c r="J166" s="85"/>
    </row>
    <row r="167" spans="1:10" outlineLevel="1">
      <c r="A167" t="s">
        <v>261</v>
      </c>
      <c r="B167" t="s">
        <v>262</v>
      </c>
      <c r="C167" s="71">
        <v>369330.31449443987</v>
      </c>
      <c r="D167" s="45">
        <v>367213.75</v>
      </c>
      <c r="E167" s="45">
        <v>382569.26890000002</v>
      </c>
      <c r="F167" s="16">
        <f t="shared" si="9"/>
        <v>1157829.2088990733</v>
      </c>
      <c r="G167" s="3">
        <f t="shared" si="10"/>
        <v>1.243555604043732E-4</v>
      </c>
      <c r="I167" s="16"/>
      <c r="J167" s="85"/>
    </row>
    <row r="168" spans="1:10" outlineLevel="1">
      <c r="A168" t="s">
        <v>263</v>
      </c>
      <c r="B168" t="s">
        <v>264</v>
      </c>
      <c r="C168" s="71">
        <v>1461710.69</v>
      </c>
      <c r="D168" s="45">
        <v>1697874.77</v>
      </c>
      <c r="E168" s="45">
        <v>1947739.1462999999</v>
      </c>
      <c r="F168" s="16">
        <f t="shared" si="9"/>
        <v>1608840.0734000001</v>
      </c>
      <c r="G168" s="3">
        <f t="shared" si="10"/>
        <v>1.7279595936166235E-4</v>
      </c>
      <c r="I168" s="16"/>
      <c r="J168" s="85"/>
    </row>
    <row r="169" spans="1:10" outlineLevel="1">
      <c r="A169" t="s">
        <v>265</v>
      </c>
      <c r="B169" t="s">
        <v>266</v>
      </c>
      <c r="C169" s="71">
        <v>1330099.44</v>
      </c>
      <c r="D169" s="45">
        <v>1511457.52</v>
      </c>
      <c r="E169" s="45">
        <v>1598526.7368000001</v>
      </c>
      <c r="F169" s="16">
        <f t="shared" si="9"/>
        <v>4970389.3083833335</v>
      </c>
      <c r="G169" s="3">
        <f t="shared" si="10"/>
        <v>5.3384000258521118E-4</v>
      </c>
      <c r="I169" s="16"/>
      <c r="J169" s="85"/>
    </row>
    <row r="170" spans="1:10" outlineLevel="1">
      <c r="A170" t="s">
        <v>267</v>
      </c>
      <c r="B170" t="s">
        <v>268</v>
      </c>
      <c r="C170" s="71">
        <v>8537174.9399999995</v>
      </c>
      <c r="D170" s="45">
        <v>8192764.25</v>
      </c>
      <c r="E170" s="45">
        <v>8489773.7901000008</v>
      </c>
      <c r="F170" s="16">
        <f t="shared" si="9"/>
        <v>4284524.8468166664</v>
      </c>
      <c r="G170" s="3">
        <f t="shared" si="10"/>
        <v>4.6017537327372069E-4</v>
      </c>
      <c r="I170" s="16"/>
      <c r="J170" s="85"/>
    </row>
    <row r="171" spans="1:10" outlineLevel="1">
      <c r="A171" t="s">
        <v>269</v>
      </c>
      <c r="B171" t="s">
        <v>270</v>
      </c>
      <c r="C171" s="71">
        <v>205446.09</v>
      </c>
      <c r="D171" s="45">
        <v>218879.65</v>
      </c>
      <c r="E171" s="45">
        <v>261481.88029999996</v>
      </c>
      <c r="F171" s="16">
        <f t="shared" si="9"/>
        <v>368221.6247333333</v>
      </c>
      <c r="G171" s="3">
        <f t="shared" si="10"/>
        <v>3.9548498297311455E-5</v>
      </c>
      <c r="I171" s="16"/>
      <c r="J171" s="85"/>
    </row>
    <row r="172" spans="1:10" outlineLevel="1">
      <c r="A172" t="s">
        <v>271</v>
      </c>
      <c r="B172" t="s">
        <v>272</v>
      </c>
      <c r="C172" s="71">
        <v>471166.58370002761</v>
      </c>
      <c r="D172" s="45">
        <v>495645.56</v>
      </c>
      <c r="E172" s="45">
        <v>522041.45280000003</v>
      </c>
      <c r="F172" s="16">
        <f t="shared" si="9"/>
        <v>473707.70156667131</v>
      </c>
      <c r="G172" s="3">
        <f t="shared" si="10"/>
        <v>5.0878131457923814E-5</v>
      </c>
      <c r="I172" s="16"/>
      <c r="J172" s="85"/>
    </row>
    <row r="173" spans="1:10" outlineLevel="1">
      <c r="A173" t="s">
        <v>273</v>
      </c>
      <c r="B173" t="s">
        <v>274</v>
      </c>
      <c r="C173" s="71">
        <v>461947.41635487328</v>
      </c>
      <c r="D173" s="45">
        <v>440918.24</v>
      </c>
      <c r="E173" s="45">
        <v>459929.50190000003</v>
      </c>
      <c r="F173" s="16">
        <f t="shared" si="9"/>
        <v>653476.05897581216</v>
      </c>
      <c r="G173" s="3">
        <f t="shared" si="10"/>
        <v>7.0185983304090231E-5</v>
      </c>
      <c r="I173" s="16"/>
      <c r="J173" s="85"/>
    </row>
    <row r="174" spans="1:10" outlineLevel="1">
      <c r="A174" t="s">
        <v>275</v>
      </c>
      <c r="B174" t="s">
        <v>276</v>
      </c>
      <c r="C174" s="71">
        <v>805211.81476850598</v>
      </c>
      <c r="D174" s="45">
        <v>864468.55</v>
      </c>
      <c r="E174" s="45">
        <v>859024.15249999997</v>
      </c>
      <c r="F174" s="16">
        <f t="shared" si="9"/>
        <v>464706.83106141764</v>
      </c>
      <c r="G174" s="3">
        <f t="shared" si="10"/>
        <v>4.9911401402052869E-5</v>
      </c>
      <c r="I174" s="16"/>
      <c r="J174" s="85"/>
    </row>
    <row r="175" spans="1:10" outlineLevel="1">
      <c r="A175" t="s">
        <v>277</v>
      </c>
      <c r="B175" t="s">
        <v>278</v>
      </c>
      <c r="C175" s="71">
        <v>101463.04413515175</v>
      </c>
      <c r="D175" s="45">
        <v>90642.19</v>
      </c>
      <c r="E175" s="45">
        <v>84697.357199999999</v>
      </c>
      <c r="F175" s="16">
        <f t="shared" ref="F175:F199" si="11">IF(C175&gt;0,(+C175+(D175*2)+(E176*3))/6,IF(D175&gt;0,((D175*2)+(E176*3))/5,E176))</f>
        <v>1869974.8044891919</v>
      </c>
      <c r="G175" s="3">
        <f t="shared" si="10"/>
        <v>2.0084289026999497E-4</v>
      </c>
      <c r="I175" s="16"/>
      <c r="J175" s="85"/>
    </row>
    <row r="176" spans="1:10" outlineLevel="1">
      <c r="A176" t="s">
        <v>279</v>
      </c>
      <c r="B176" t="s">
        <v>280</v>
      </c>
      <c r="C176" s="71">
        <v>3649500.1768397009</v>
      </c>
      <c r="D176" s="45">
        <v>3686160.42</v>
      </c>
      <c r="E176" s="45">
        <v>3645700.4675999996</v>
      </c>
      <c r="F176" s="16">
        <f t="shared" si="11"/>
        <v>2970006.7797732837</v>
      </c>
      <c r="G176" s="3">
        <f t="shared" si="10"/>
        <v>3.189907929984596E-4</v>
      </c>
      <c r="I176" s="16"/>
      <c r="J176" s="85"/>
    </row>
    <row r="177" spans="1:13" outlineLevel="1">
      <c r="A177" t="s">
        <v>281</v>
      </c>
      <c r="B177" t="s">
        <v>282</v>
      </c>
      <c r="C177" s="71">
        <v>2161986.9724969435</v>
      </c>
      <c r="D177" s="45">
        <v>2255046.46</v>
      </c>
      <c r="E177" s="45">
        <v>2266073.2205999997</v>
      </c>
      <c r="F177" s="16">
        <f t="shared" si="11"/>
        <v>1256078.9866661571</v>
      </c>
      <c r="G177" s="3">
        <f t="shared" si="10"/>
        <v>1.3490798564975829E-4</v>
      </c>
      <c r="I177" s="16"/>
      <c r="J177" s="85"/>
    </row>
    <row r="178" spans="1:13" outlineLevel="1">
      <c r="A178" t="s">
        <v>283</v>
      </c>
      <c r="B178" t="s">
        <v>284</v>
      </c>
      <c r="C178" s="71">
        <v>275445.85876837181</v>
      </c>
      <c r="D178" s="45">
        <v>286568.65000000002</v>
      </c>
      <c r="E178" s="45">
        <v>288131.34249999997</v>
      </c>
      <c r="F178" s="16">
        <f t="shared" si="11"/>
        <v>984104.09181139525</v>
      </c>
      <c r="G178" s="3">
        <f t="shared" si="10"/>
        <v>1.0569677711776437E-4</v>
      </c>
      <c r="I178" s="16"/>
      <c r="J178" s="85"/>
    </row>
    <row r="179" spans="1:13" outlineLevel="1">
      <c r="A179" t="s">
        <v>285</v>
      </c>
      <c r="B179" t="s">
        <v>286</v>
      </c>
      <c r="C179" s="71">
        <v>1415218.2495177342</v>
      </c>
      <c r="D179" s="45">
        <v>1534651.51</v>
      </c>
      <c r="E179" s="45">
        <v>1685347.1306999999</v>
      </c>
      <c r="F179" s="16">
        <f t="shared" si="11"/>
        <v>1432650.5013862893</v>
      </c>
      <c r="G179" s="3">
        <f t="shared" si="10"/>
        <v>1.5387248360481472E-4</v>
      </c>
      <c r="I179" s="16"/>
      <c r="J179" s="85"/>
    </row>
    <row r="180" spans="1:13" outlineLevel="1">
      <c r="A180" t="s">
        <v>287</v>
      </c>
      <c r="B180" t="s">
        <v>288</v>
      </c>
      <c r="C180" s="71">
        <v>1448565.4594703512</v>
      </c>
      <c r="D180" s="45">
        <v>1332704.81</v>
      </c>
      <c r="E180" s="45">
        <v>1370460.5795999998</v>
      </c>
      <c r="F180" s="16">
        <f t="shared" si="11"/>
        <v>1214991.5204450588</v>
      </c>
      <c r="G180" s="3">
        <f t="shared" si="10"/>
        <v>1.304950248708721E-4</v>
      </c>
      <c r="I180" s="16"/>
      <c r="J180" s="85"/>
    </row>
    <row r="181" spans="1:13" outlineLevel="1">
      <c r="A181" t="s">
        <v>289</v>
      </c>
      <c r="B181" t="s">
        <v>290</v>
      </c>
      <c r="C181" s="71">
        <v>998949.16640441446</v>
      </c>
      <c r="D181" s="45">
        <v>1052488.6399999999</v>
      </c>
      <c r="E181" s="45">
        <v>1058658.0144000002</v>
      </c>
      <c r="F181" s="16">
        <f t="shared" si="11"/>
        <v>778183.08100073563</v>
      </c>
      <c r="G181" s="3">
        <f t="shared" si="10"/>
        <v>8.358002405818014E-5</v>
      </c>
      <c r="I181" s="16"/>
      <c r="J181" s="85"/>
    </row>
    <row r="182" spans="1:13" outlineLevel="1">
      <c r="A182" t="s">
        <v>291</v>
      </c>
      <c r="B182" t="s">
        <v>292</v>
      </c>
      <c r="C182" s="71">
        <v>479726.8671011572</v>
      </c>
      <c r="D182" s="45">
        <v>505732.65</v>
      </c>
      <c r="E182" s="45">
        <v>521724.01319999999</v>
      </c>
      <c r="F182" s="16">
        <f t="shared" si="11"/>
        <v>565907.31185019284</v>
      </c>
      <c r="G182" s="3">
        <f t="shared" si="10"/>
        <v>6.0780744138402127E-5</v>
      </c>
      <c r="I182" s="16"/>
      <c r="J182" s="85"/>
    </row>
    <row r="183" spans="1:13" outlineLevel="1">
      <c r="A183" t="s">
        <v>293</v>
      </c>
      <c r="B183" t="s">
        <v>294</v>
      </c>
      <c r="C183" s="71">
        <v>548325.24531015323</v>
      </c>
      <c r="D183" s="45">
        <v>598720.73</v>
      </c>
      <c r="E183" s="45">
        <v>634750.56799999997</v>
      </c>
      <c r="F183" s="16">
        <f t="shared" si="11"/>
        <v>15628315.161551692</v>
      </c>
      <c r="G183" s="3">
        <f t="shared" si="10"/>
        <v>1.6785445341622339E-3</v>
      </c>
      <c r="I183" s="16"/>
      <c r="J183" s="85"/>
    </row>
    <row r="184" spans="1:13" outlineLevel="1">
      <c r="A184" t="s">
        <v>295</v>
      </c>
      <c r="B184" t="s">
        <v>296</v>
      </c>
      <c r="C184" s="71">
        <v>33310760.734708641</v>
      </c>
      <c r="D184" s="45">
        <v>35469727.229999997</v>
      </c>
      <c r="E184" s="45">
        <v>30674708.088</v>
      </c>
      <c r="F184" s="16">
        <f t="shared" si="11"/>
        <v>17628982.906484772</v>
      </c>
      <c r="G184" s="3">
        <f t="shared" si="10"/>
        <v>1.8934243771406933E-3</v>
      </c>
      <c r="I184" s="16"/>
      <c r="J184" s="85"/>
    </row>
    <row r="185" spans="1:13" outlineLevel="1">
      <c r="A185" t="s">
        <v>297</v>
      </c>
      <c r="B185" t="s">
        <v>298</v>
      </c>
      <c r="C185" s="71">
        <v>513931.94280794583</v>
      </c>
      <c r="D185" s="45">
        <v>502863.26</v>
      </c>
      <c r="E185" s="45">
        <v>507894.08139999997</v>
      </c>
      <c r="F185" s="16">
        <f t="shared" si="11"/>
        <v>301173.95086799096</v>
      </c>
      <c r="G185" s="3">
        <f t="shared" si="10"/>
        <v>3.2347305761097689E-5</v>
      </c>
      <c r="I185" s="16"/>
      <c r="J185" s="85"/>
    </row>
    <row r="186" spans="1:13" outlineLevel="1">
      <c r="A186" t="s">
        <v>299</v>
      </c>
      <c r="B186" t="s">
        <v>300</v>
      </c>
      <c r="C186" s="71">
        <v>87005.360621741056</v>
      </c>
      <c r="D186" s="45">
        <v>93520.23</v>
      </c>
      <c r="E186" s="45">
        <v>95795.080799999996</v>
      </c>
      <c r="F186" s="16">
        <f t="shared" si="11"/>
        <v>376874.87003695685</v>
      </c>
      <c r="G186" s="3">
        <f t="shared" si="10"/>
        <v>4.0477891994393786E-5</v>
      </c>
      <c r="I186" s="16"/>
      <c r="J186" s="85"/>
    </row>
    <row r="187" spans="1:13" outlineLevel="1">
      <c r="A187" t="s">
        <v>301</v>
      </c>
      <c r="B187" t="s">
        <v>302</v>
      </c>
      <c r="C187" s="71">
        <v>658672.828420709</v>
      </c>
      <c r="D187" s="45">
        <v>674311.14</v>
      </c>
      <c r="E187" s="45">
        <v>662401.13320000004</v>
      </c>
      <c r="F187" s="16">
        <f t="shared" si="11"/>
        <v>4912908.5493367836</v>
      </c>
      <c r="G187" s="3">
        <f t="shared" si="10"/>
        <v>5.2766633556354471E-4</v>
      </c>
      <c r="I187" s="16"/>
      <c r="J187" s="85"/>
    </row>
    <row r="188" spans="1:13" outlineLevel="1">
      <c r="A188" t="s">
        <v>303</v>
      </c>
      <c r="B188" t="s">
        <v>304</v>
      </c>
      <c r="C188" s="71">
        <v>9009912.7679391969</v>
      </c>
      <c r="D188" s="45">
        <v>9502079.7899999991</v>
      </c>
      <c r="E188" s="45">
        <v>9156718.7291999981</v>
      </c>
      <c r="F188" s="16">
        <f t="shared" si="11"/>
        <v>4964509.8447398655</v>
      </c>
      <c r="G188" s="3">
        <f t="shared" si="10"/>
        <v>5.3320852430616887E-4</v>
      </c>
      <c r="I188" s="16"/>
      <c r="J188" s="85"/>
    </row>
    <row r="189" spans="1:13" outlineLevel="1">
      <c r="A189" t="s">
        <v>305</v>
      </c>
      <c r="B189" t="s">
        <v>306</v>
      </c>
      <c r="C189" s="71">
        <v>637322.81417051493</v>
      </c>
      <c r="D189" s="45">
        <v>557239.06000000006</v>
      </c>
      <c r="E189" s="45">
        <v>590995.57350000006</v>
      </c>
      <c r="F189" s="16">
        <f t="shared" si="11"/>
        <v>430411.76441175252</v>
      </c>
      <c r="G189" s="3">
        <f t="shared" si="10"/>
        <v>4.62279719294283E-5</v>
      </c>
      <c r="I189" s="16"/>
      <c r="J189" s="85"/>
    </row>
    <row r="190" spans="1:13" outlineLevel="1">
      <c r="A190" t="s">
        <v>307</v>
      </c>
      <c r="B190" t="s">
        <v>308</v>
      </c>
      <c r="C190" s="71">
        <v>276393.60911927588</v>
      </c>
      <c r="D190" s="45">
        <v>274896.08</v>
      </c>
      <c r="E190" s="45">
        <v>276889.88410000002</v>
      </c>
      <c r="F190" s="16">
        <f t="shared" si="11"/>
        <v>515281.7509365459</v>
      </c>
      <c r="G190" s="3">
        <f t="shared" si="10"/>
        <v>5.5343353243601269E-5</v>
      </c>
      <c r="I190" s="16"/>
      <c r="J190" s="85"/>
    </row>
    <row r="191" spans="1:13" outlineLevel="1">
      <c r="A191" t="s">
        <v>309</v>
      </c>
      <c r="B191" t="s">
        <v>310</v>
      </c>
      <c r="C191" s="71">
        <v>747376.32923865423</v>
      </c>
      <c r="D191" s="45">
        <v>737068.31</v>
      </c>
      <c r="E191" s="45">
        <v>755168.24549999996</v>
      </c>
      <c r="F191" s="16">
        <f t="shared" si="11"/>
        <v>823634.02860644239</v>
      </c>
      <c r="G191" s="3">
        <f t="shared" si="10"/>
        <v>8.8461640463238507E-5</v>
      </c>
      <c r="I191" s="16"/>
      <c r="J191" s="85"/>
    </row>
    <row r="192" spans="1:13" outlineLevel="1">
      <c r="A192" t="s">
        <v>311</v>
      </c>
      <c r="B192" t="s">
        <v>312</v>
      </c>
      <c r="C192" s="71">
        <v>921724.80267735373</v>
      </c>
      <c r="D192" s="45">
        <v>892153.13</v>
      </c>
      <c r="E192" s="45">
        <v>906763.74080000003</v>
      </c>
      <c r="F192" s="16">
        <f t="shared" si="11"/>
        <v>659559.89596289222</v>
      </c>
      <c r="G192" s="3">
        <f t="shared" si="10"/>
        <v>7.0839412110448093E-5</v>
      </c>
      <c r="I192" s="16"/>
      <c r="J192" s="85"/>
      <c r="M192" s="85"/>
    </row>
    <row r="193" spans="1:10" outlineLevel="1">
      <c r="A193" t="s">
        <v>313</v>
      </c>
      <c r="B193" t="s">
        <v>314</v>
      </c>
      <c r="C193" s="71">
        <v>377155.07534818293</v>
      </c>
      <c r="D193" s="45">
        <v>396497.91999999998</v>
      </c>
      <c r="E193" s="45">
        <v>417109.43770000001</v>
      </c>
      <c r="F193" s="16">
        <f t="shared" si="11"/>
        <v>670074.89080803061</v>
      </c>
      <c r="G193" s="3">
        <f t="shared" si="10"/>
        <v>7.1968765271144061E-5</v>
      </c>
      <c r="I193" s="16"/>
      <c r="J193" s="85"/>
    </row>
    <row r="194" spans="1:10" outlineLevel="1">
      <c r="A194" t="s">
        <v>315</v>
      </c>
      <c r="B194" t="s">
        <v>316</v>
      </c>
      <c r="C194" s="71">
        <v>974451.96411179076</v>
      </c>
      <c r="D194" s="45">
        <v>1031922.58</v>
      </c>
      <c r="E194" s="45">
        <v>950099.47650000011</v>
      </c>
      <c r="F194" s="16">
        <f t="shared" si="11"/>
        <v>661507.23321863182</v>
      </c>
      <c r="G194" s="3">
        <f>+F194/$F$264</f>
        <v>7.104856404224645E-5</v>
      </c>
      <c r="I194" s="16"/>
      <c r="J194" s="85"/>
    </row>
    <row r="195" spans="1:10" outlineLevel="1">
      <c r="A195" t="s">
        <v>317</v>
      </c>
      <c r="B195" t="s">
        <v>318</v>
      </c>
      <c r="C195" s="71">
        <v>283334.70100132847</v>
      </c>
      <c r="D195" s="45">
        <v>299700.56</v>
      </c>
      <c r="E195" s="45">
        <v>310248.75839999999</v>
      </c>
      <c r="F195" s="16">
        <f>IF(C195&gt;0,(+C195+(D195*2)+(E259*3))/6,IF(D195&gt;0,((D195*2)+(E259*3))/5,E259))</f>
        <v>666556.98428355472</v>
      </c>
      <c r="G195" s="3">
        <f>+F195/$F$264</f>
        <v>7.1590927819869732E-5</v>
      </c>
      <c r="I195" s="16"/>
      <c r="J195" s="85"/>
    </row>
    <row r="196" spans="1:10" outlineLevel="1">
      <c r="A196" t="s">
        <v>319</v>
      </c>
      <c r="B196" t="s">
        <v>320</v>
      </c>
      <c r="C196" s="71">
        <v>613987.56056593778</v>
      </c>
      <c r="D196" s="45">
        <v>658480.30000000005</v>
      </c>
      <c r="E196" s="45">
        <v>726052.35200000007</v>
      </c>
      <c r="F196" s="16">
        <f t="shared" si="11"/>
        <v>2510991.1755276565</v>
      </c>
      <c r="G196" s="3">
        <f t="shared" ref="G196:G226" si="12">+F196/$F$264</f>
        <v>2.6969065247549524E-4</v>
      </c>
      <c r="I196" s="16"/>
      <c r="J196" s="85"/>
    </row>
    <row r="197" spans="1:10" outlineLevel="1">
      <c r="A197" t="s">
        <v>321</v>
      </c>
      <c r="B197" t="s">
        <v>322</v>
      </c>
      <c r="C197" s="71">
        <v>4646120.9747299198</v>
      </c>
      <c r="D197" s="45">
        <v>4654768.37</v>
      </c>
      <c r="E197" s="45">
        <v>4378332.9642000003</v>
      </c>
      <c r="F197" s="16">
        <f t="shared" si="11"/>
        <v>2672588.9652549867</v>
      </c>
      <c r="G197" s="3">
        <f t="shared" si="12"/>
        <v>2.8704691153960899E-4</v>
      </c>
      <c r="I197" s="16"/>
      <c r="J197" s="85"/>
    </row>
    <row r="198" spans="1:10" outlineLevel="1">
      <c r="A198" t="s">
        <v>323</v>
      </c>
      <c r="B198" t="s">
        <v>324</v>
      </c>
      <c r="C198" s="71">
        <v>686722.86906992749</v>
      </c>
      <c r="D198" s="45">
        <v>662631.94999999995</v>
      </c>
      <c r="E198" s="45">
        <v>693292.02559999994</v>
      </c>
      <c r="F198" s="16">
        <f t="shared" si="11"/>
        <v>1603010.3787783214</v>
      </c>
      <c r="G198" s="3">
        <f t="shared" si="12"/>
        <v>1.7216982647773335E-4</v>
      </c>
      <c r="I198" s="16"/>
      <c r="J198" s="85"/>
    </row>
    <row r="199" spans="1:10" outlineLevel="1">
      <c r="A199" t="s">
        <v>325</v>
      </c>
      <c r="B199" t="s">
        <v>326</v>
      </c>
      <c r="C199" s="71">
        <v>2538043.127502081</v>
      </c>
      <c r="D199" s="45">
        <v>2578903.92</v>
      </c>
      <c r="E199" s="45">
        <v>2535358.5012000003</v>
      </c>
      <c r="F199" s="16">
        <f t="shared" si="11"/>
        <v>1397958.3081670136</v>
      </c>
      <c r="G199" s="3">
        <f t="shared" si="12"/>
        <v>1.5014640112539449E-4</v>
      </c>
      <c r="I199" s="16"/>
      <c r="J199" s="85"/>
    </row>
    <row r="200" spans="1:10" outlineLevel="1">
      <c r="A200" t="s">
        <v>327</v>
      </c>
      <c r="B200" t="s">
        <v>328</v>
      </c>
      <c r="C200" s="71">
        <v>229511.47812327198</v>
      </c>
      <c r="D200" s="45">
        <v>240699.16</v>
      </c>
      <c r="E200" s="45">
        <v>230632.96049999999</v>
      </c>
      <c r="F200" s="16">
        <f>IF(C200&gt;0,(+C200+(D200*2)+(E143*3))/6,IF(D200&gt;0,((D200*2)+(E143*3))/5,E143))</f>
        <v>644049.56815387867</v>
      </c>
      <c r="G200" s="3">
        <f t="shared" si="12"/>
        <v>6.917353989724022E-5</v>
      </c>
      <c r="I200" s="16"/>
      <c r="J200" s="85"/>
    </row>
    <row r="201" spans="1:10" outlineLevel="1">
      <c r="A201" t="s">
        <v>329</v>
      </c>
      <c r="B201" t="s">
        <v>330</v>
      </c>
      <c r="C201" s="71">
        <v>865204.20254759071</v>
      </c>
      <c r="D201" s="45">
        <v>827494.29</v>
      </c>
      <c r="E201" s="45">
        <v>773231.61329999997</v>
      </c>
      <c r="F201" s="16">
        <f t="shared" ref="F201:F232" si="13">IF(C201&gt;0,(+C201+(D201*2)+(E201*3))/6,IF(D201&gt;0,((D201*2)+(E201*3))/5,E201))</f>
        <v>806647.93707459851</v>
      </c>
      <c r="G201" s="3">
        <f t="shared" si="12"/>
        <v>8.6637265231306906E-5</v>
      </c>
      <c r="I201" s="16"/>
      <c r="J201" s="85"/>
    </row>
    <row r="202" spans="1:10" outlineLevel="1">
      <c r="A202" t="s">
        <v>505</v>
      </c>
      <c r="B202" t="s">
        <v>503</v>
      </c>
      <c r="C202" s="71">
        <v>208608.65134365595</v>
      </c>
      <c r="D202" s="45">
        <v>220080.85</v>
      </c>
      <c r="E202" s="45">
        <v>237253.75520000004</v>
      </c>
      <c r="F202" s="16">
        <f t="shared" si="13"/>
        <v>226755.26949060932</v>
      </c>
      <c r="G202" s="3">
        <f t="shared" si="12"/>
        <v>2.4354437075362645E-5</v>
      </c>
      <c r="I202" s="16"/>
      <c r="J202" s="85"/>
    </row>
    <row r="203" spans="1:10" outlineLevel="1">
      <c r="A203" t="s">
        <v>331</v>
      </c>
      <c r="B203" t="s">
        <v>332</v>
      </c>
      <c r="C203" s="71">
        <v>1054026.5840660692</v>
      </c>
      <c r="D203" s="45">
        <v>962677.47</v>
      </c>
      <c r="E203" s="45">
        <v>860249.68200000003</v>
      </c>
      <c r="F203" s="16">
        <f t="shared" si="13"/>
        <v>926688.42834434484</v>
      </c>
      <c r="G203" s="3">
        <f t="shared" si="12"/>
        <v>9.95301016257693E-5</v>
      </c>
      <c r="I203" s="16"/>
      <c r="J203" s="85"/>
    </row>
    <row r="204" spans="1:10" outlineLevel="1">
      <c r="A204" t="s">
        <v>333</v>
      </c>
      <c r="B204" t="s">
        <v>334</v>
      </c>
      <c r="C204" s="71">
        <v>746154.23237574974</v>
      </c>
      <c r="D204" s="45">
        <v>648411.38</v>
      </c>
      <c r="E204" s="45">
        <v>610915.27890000003</v>
      </c>
      <c r="F204" s="16">
        <f t="shared" si="13"/>
        <v>645953.80484595837</v>
      </c>
      <c r="G204" s="3">
        <f t="shared" si="12"/>
        <v>6.9378062653417108E-5</v>
      </c>
      <c r="I204" s="16"/>
      <c r="J204" s="85"/>
    </row>
    <row r="205" spans="1:10" outlineLevel="1">
      <c r="A205" t="s">
        <v>335</v>
      </c>
      <c r="B205" t="s">
        <v>336</v>
      </c>
      <c r="C205" s="71">
        <v>642242.94811378838</v>
      </c>
      <c r="D205" s="45">
        <v>630129.06000000006</v>
      </c>
      <c r="E205" s="45">
        <v>580899.85219999996</v>
      </c>
      <c r="F205" s="16">
        <f t="shared" si="13"/>
        <v>607533.43745229801</v>
      </c>
      <c r="G205" s="3">
        <f t="shared" si="12"/>
        <v>6.5251559122966773E-5</v>
      </c>
      <c r="I205" s="16"/>
      <c r="J205" s="85"/>
    </row>
    <row r="206" spans="1:10" outlineLevel="1">
      <c r="A206" t="s">
        <v>337</v>
      </c>
      <c r="B206" t="s">
        <v>338</v>
      </c>
      <c r="C206" s="71">
        <v>127473.97577914649</v>
      </c>
      <c r="D206" s="45">
        <v>154653.31</v>
      </c>
      <c r="E206" s="45">
        <v>126707.4846</v>
      </c>
      <c r="F206" s="16">
        <f t="shared" si="13"/>
        <v>136150.50826319109</v>
      </c>
      <c r="G206" s="3">
        <f t="shared" si="12"/>
        <v>1.4623117662153602E-5</v>
      </c>
      <c r="I206" s="16"/>
      <c r="J206" s="85"/>
    </row>
    <row r="207" spans="1:10" outlineLevel="1">
      <c r="A207" t="s">
        <v>339</v>
      </c>
      <c r="B207" t="s">
        <v>340</v>
      </c>
      <c r="C207" s="71">
        <v>1732757.7387054111</v>
      </c>
      <c r="D207" s="45">
        <v>1754841.18</v>
      </c>
      <c r="E207" s="45">
        <v>1742053.152</v>
      </c>
      <c r="F207" s="16">
        <f t="shared" si="13"/>
        <v>1744766.5924509019</v>
      </c>
      <c r="G207" s="3">
        <f t="shared" si="12"/>
        <v>1.8739501967252037E-4</v>
      </c>
      <c r="I207" s="16"/>
      <c r="J207" s="85"/>
    </row>
    <row r="208" spans="1:10" outlineLevel="1">
      <c r="A208" t="s">
        <v>341</v>
      </c>
      <c r="B208" t="s">
        <v>342</v>
      </c>
      <c r="C208" s="71">
        <v>1331575.6197209689</v>
      </c>
      <c r="D208" s="45">
        <v>1449129.68</v>
      </c>
      <c r="E208" s="45">
        <v>1518015.584</v>
      </c>
      <c r="F208" s="16">
        <f t="shared" si="13"/>
        <v>1463980.2886201616</v>
      </c>
      <c r="G208" s="3">
        <f t="shared" si="12"/>
        <v>1.5723743002253596E-4</v>
      </c>
      <c r="I208" s="16"/>
      <c r="J208" s="85"/>
    </row>
    <row r="209" spans="1:10" outlineLevel="1">
      <c r="A209" t="s">
        <v>343</v>
      </c>
      <c r="B209" t="s">
        <v>344</v>
      </c>
      <c r="C209" s="71">
        <v>533349.94972994318</v>
      </c>
      <c r="D209" s="45">
        <v>427376.1</v>
      </c>
      <c r="E209" s="45">
        <v>456258.04379999998</v>
      </c>
      <c r="F209" s="16">
        <f t="shared" si="13"/>
        <v>459479.38018832385</v>
      </c>
      <c r="G209" s="3">
        <f t="shared" si="12"/>
        <v>4.934995194317454E-5</v>
      </c>
      <c r="I209" s="16"/>
      <c r="J209" s="85"/>
    </row>
    <row r="210" spans="1:10" outlineLevel="1">
      <c r="A210" t="s">
        <v>345</v>
      </c>
      <c r="B210" t="s">
        <v>346</v>
      </c>
      <c r="C210" s="71">
        <v>5885740.4758438691</v>
      </c>
      <c r="D210" s="45">
        <v>6020251.2199999997</v>
      </c>
      <c r="E210" s="45">
        <v>5944757.5908000004</v>
      </c>
      <c r="F210" s="16">
        <f t="shared" si="13"/>
        <v>5960085.9480406446</v>
      </c>
      <c r="G210" s="3">
        <f t="shared" si="12"/>
        <v>6.4013744205984287E-4</v>
      </c>
      <c r="I210" s="16"/>
      <c r="J210" s="85"/>
    </row>
    <row r="211" spans="1:10" outlineLevel="1">
      <c r="A211" t="s">
        <v>486</v>
      </c>
      <c r="B211" t="s">
        <v>350</v>
      </c>
      <c r="C211" s="71">
        <v>853367.34991786582</v>
      </c>
      <c r="D211" s="45">
        <v>874297.39</v>
      </c>
      <c r="E211" s="45">
        <v>912712.20889999997</v>
      </c>
      <c r="F211" s="16">
        <f t="shared" si="13"/>
        <v>890016.45943631092</v>
      </c>
      <c r="G211" s="3">
        <f t="shared" si="12"/>
        <v>9.5591383195072123E-5</v>
      </c>
      <c r="I211" s="16"/>
      <c r="J211" s="85"/>
    </row>
    <row r="212" spans="1:10" outlineLevel="1">
      <c r="A212" t="s">
        <v>487</v>
      </c>
      <c r="B212" t="s">
        <v>351</v>
      </c>
      <c r="C212" s="71">
        <v>471438.01466466079</v>
      </c>
      <c r="D212" s="45">
        <v>483446.35</v>
      </c>
      <c r="E212" s="45">
        <v>515222.20640000002</v>
      </c>
      <c r="F212" s="16">
        <f t="shared" si="13"/>
        <v>497332.88897744351</v>
      </c>
      <c r="G212" s="3">
        <f t="shared" si="12"/>
        <v>5.3415572556787141E-5</v>
      </c>
      <c r="I212" s="16"/>
      <c r="J212" s="85"/>
    </row>
    <row r="213" spans="1:10" outlineLevel="1">
      <c r="A213" t="s">
        <v>488</v>
      </c>
      <c r="B213" t="s">
        <v>347</v>
      </c>
      <c r="C213" s="71">
        <v>250900.91169887956</v>
      </c>
      <c r="D213" s="45">
        <v>241630.98</v>
      </c>
      <c r="E213" s="45">
        <v>244593.90899999999</v>
      </c>
      <c r="F213" s="16">
        <f t="shared" si="13"/>
        <v>244657.43311647992</v>
      </c>
      <c r="G213" s="3">
        <f t="shared" si="12"/>
        <v>2.6277202171488304E-5</v>
      </c>
      <c r="I213" s="16"/>
      <c r="J213" s="85"/>
    </row>
    <row r="214" spans="1:10" outlineLevel="1">
      <c r="A214" t="s">
        <v>349</v>
      </c>
      <c r="B214" t="s">
        <v>348</v>
      </c>
      <c r="C214" s="71">
        <v>2768431.1745745558</v>
      </c>
      <c r="D214" s="45">
        <v>2857839.85</v>
      </c>
      <c r="E214" s="45">
        <v>2943448.2319999998</v>
      </c>
      <c r="F214" s="16">
        <f t="shared" si="13"/>
        <v>2885742.5950957593</v>
      </c>
      <c r="G214" s="3">
        <f t="shared" si="12"/>
        <v>3.0994047726358979E-4</v>
      </c>
      <c r="I214" s="16"/>
      <c r="J214" s="85"/>
    </row>
    <row r="215" spans="1:10" outlineLevel="1">
      <c r="A215" t="s">
        <v>352</v>
      </c>
      <c r="B215" t="s">
        <v>353</v>
      </c>
      <c r="C215" s="71">
        <v>1688655.139849891</v>
      </c>
      <c r="D215" s="45">
        <v>1492189.76</v>
      </c>
      <c r="E215" s="45">
        <v>1655397.6565999999</v>
      </c>
      <c r="F215" s="16">
        <f t="shared" si="13"/>
        <v>1606537.9382749817</v>
      </c>
      <c r="G215" s="3">
        <f t="shared" si="12"/>
        <v>1.7254870069743287E-4</v>
      </c>
      <c r="I215" s="16"/>
      <c r="J215" s="85"/>
    </row>
    <row r="216" spans="1:10" outlineLevel="1">
      <c r="A216" t="s">
        <v>354</v>
      </c>
      <c r="B216" t="s">
        <v>355</v>
      </c>
      <c r="C216" s="71">
        <v>285708.09781423898</v>
      </c>
      <c r="D216" s="45">
        <v>306349.67</v>
      </c>
      <c r="E216" s="45">
        <v>285249.174</v>
      </c>
      <c r="F216" s="16">
        <f t="shared" si="13"/>
        <v>292359.15996903979</v>
      </c>
      <c r="G216" s="3">
        <f t="shared" si="12"/>
        <v>3.1400561410841803E-5</v>
      </c>
      <c r="I216" s="16"/>
      <c r="J216" s="85"/>
    </row>
    <row r="217" spans="1:10" outlineLevel="1">
      <c r="A217" t="s">
        <v>356</v>
      </c>
      <c r="B217" t="s">
        <v>357</v>
      </c>
      <c r="C217" s="71">
        <v>353746.97870894481</v>
      </c>
      <c r="D217" s="45">
        <v>347857.15</v>
      </c>
      <c r="E217" s="45">
        <v>415579.20750000002</v>
      </c>
      <c r="F217" s="16">
        <f t="shared" si="13"/>
        <v>382699.81686815742</v>
      </c>
      <c r="G217" s="3">
        <f t="shared" si="12"/>
        <v>4.1103514946338821E-5</v>
      </c>
      <c r="I217" s="16"/>
      <c r="J217" s="85"/>
    </row>
    <row r="218" spans="1:10" outlineLevel="1">
      <c r="A218" t="s">
        <v>358</v>
      </c>
      <c r="B218" t="s">
        <v>359</v>
      </c>
      <c r="C218" s="71">
        <v>3079013.8487979211</v>
      </c>
      <c r="D218" s="45">
        <v>2961893.57</v>
      </c>
      <c r="E218" s="45">
        <v>2941423.9606999997</v>
      </c>
      <c r="F218" s="16">
        <f t="shared" si="13"/>
        <v>2971178.8118163198</v>
      </c>
      <c r="G218" s="3">
        <f t="shared" si="12"/>
        <v>3.1911667400094548E-4</v>
      </c>
      <c r="I218" s="16"/>
      <c r="J218" s="85"/>
    </row>
    <row r="219" spans="1:10" outlineLevel="1">
      <c r="A219" t="s">
        <v>360</v>
      </c>
      <c r="B219" t="s">
        <v>361</v>
      </c>
      <c r="C219" s="71">
        <v>433122.51677395776</v>
      </c>
      <c r="D219" s="45">
        <v>428410</v>
      </c>
      <c r="E219" s="45">
        <v>424182.40620000003</v>
      </c>
      <c r="F219" s="16">
        <f t="shared" si="13"/>
        <v>427081.62256232632</v>
      </c>
      <c r="G219" s="3">
        <f t="shared" si="12"/>
        <v>4.5870301166997617E-5</v>
      </c>
      <c r="I219" s="16"/>
      <c r="J219" s="85"/>
    </row>
    <row r="220" spans="1:10" outlineLevel="1">
      <c r="A220" t="s">
        <v>362</v>
      </c>
      <c r="B220" t="s">
        <v>363</v>
      </c>
      <c r="C220" s="71">
        <v>650620.40642082295</v>
      </c>
      <c r="D220" s="45">
        <v>714680.83</v>
      </c>
      <c r="E220" s="45">
        <v>732577.97140000004</v>
      </c>
      <c r="F220" s="16">
        <f t="shared" si="13"/>
        <v>712952.66343680385</v>
      </c>
      <c r="G220" s="3">
        <f t="shared" si="12"/>
        <v>7.6574012230851032E-5</v>
      </c>
      <c r="I220" s="16"/>
      <c r="J220" s="85"/>
    </row>
    <row r="221" spans="1:10" outlineLevel="1">
      <c r="A221" t="s">
        <v>364</v>
      </c>
      <c r="B221" t="s">
        <v>365</v>
      </c>
      <c r="C221" s="71">
        <v>940634.70699080289</v>
      </c>
      <c r="D221" s="45">
        <v>1002554.26</v>
      </c>
      <c r="E221" s="45">
        <v>973941.7379999999</v>
      </c>
      <c r="F221" s="16">
        <f t="shared" si="13"/>
        <v>977928.0734984671</v>
      </c>
      <c r="G221" s="3">
        <f t="shared" si="12"/>
        <v>1.0503344766254867E-4</v>
      </c>
      <c r="I221" s="16"/>
      <c r="J221" s="85"/>
    </row>
    <row r="222" spans="1:10" outlineLevel="1">
      <c r="A222" t="s">
        <v>366</v>
      </c>
      <c r="B222" t="s">
        <v>367</v>
      </c>
      <c r="C222" s="71">
        <v>839563.62230576784</v>
      </c>
      <c r="D222" s="45">
        <v>888089.17</v>
      </c>
      <c r="E222" s="45">
        <v>846883.64040000003</v>
      </c>
      <c r="F222" s="16">
        <f t="shared" si="13"/>
        <v>859398.81391762802</v>
      </c>
      <c r="G222" s="3">
        <f t="shared" si="12"/>
        <v>9.2302923690445703E-5</v>
      </c>
      <c r="I222" s="16"/>
      <c r="J222" s="85"/>
    </row>
    <row r="223" spans="1:10" outlineLevel="1">
      <c r="A223" t="s">
        <v>368</v>
      </c>
      <c r="B223" t="s">
        <v>369</v>
      </c>
      <c r="C223" s="71">
        <v>360833.66534451977</v>
      </c>
      <c r="D223" s="45">
        <v>338993.83</v>
      </c>
      <c r="E223" s="45">
        <v>318335.59480000002</v>
      </c>
      <c r="F223" s="16">
        <f t="shared" si="13"/>
        <v>332304.68495741999</v>
      </c>
      <c r="G223" s="3">
        <f t="shared" si="12"/>
        <v>3.5690873062506072E-5</v>
      </c>
      <c r="I223" s="16"/>
      <c r="J223" s="85"/>
    </row>
    <row r="224" spans="1:10" outlineLevel="1">
      <c r="A224" t="s">
        <v>370</v>
      </c>
      <c r="B224" t="s">
        <v>371</v>
      </c>
      <c r="C224" s="71">
        <v>5974522.9043878447</v>
      </c>
      <c r="D224" s="45">
        <v>6095903.1200000001</v>
      </c>
      <c r="E224" s="45">
        <v>6218596.9732999997</v>
      </c>
      <c r="F224" s="16">
        <f t="shared" si="13"/>
        <v>6137020.0107146399</v>
      </c>
      <c r="G224" s="3">
        <f t="shared" si="12"/>
        <v>6.5914087913789747E-4</v>
      </c>
      <c r="I224" s="16"/>
      <c r="J224" s="85"/>
    </row>
    <row r="225" spans="1:11" outlineLevel="1">
      <c r="A225" t="s">
        <v>372</v>
      </c>
      <c r="B225" t="s">
        <v>373</v>
      </c>
      <c r="C225" s="71">
        <v>971988.71648010984</v>
      </c>
      <c r="D225" s="45">
        <v>1032001.09</v>
      </c>
      <c r="E225" s="45">
        <v>903351.86020000011</v>
      </c>
      <c r="F225" s="16">
        <f t="shared" si="13"/>
        <v>957674.41284668504</v>
      </c>
      <c r="G225" s="3">
        <f t="shared" si="12"/>
        <v>1.0285812223351821E-4</v>
      </c>
      <c r="I225" s="16"/>
      <c r="J225" s="85"/>
    </row>
    <row r="226" spans="1:11" outlineLevel="1">
      <c r="A226" t="s">
        <v>374</v>
      </c>
      <c r="B226" t="s">
        <v>375</v>
      </c>
      <c r="C226" s="71">
        <v>517660.4</v>
      </c>
      <c r="D226" s="45">
        <v>408894.04</v>
      </c>
      <c r="E226" s="45">
        <v>433197</v>
      </c>
      <c r="F226" s="16">
        <f t="shared" si="13"/>
        <v>439173.24666666664</v>
      </c>
      <c r="G226" s="3">
        <f t="shared" si="12"/>
        <v>4.7168990714762635E-5</v>
      </c>
      <c r="I226" s="16"/>
      <c r="J226" s="85"/>
    </row>
    <row r="227" spans="1:11" outlineLevel="1">
      <c r="A227" t="s">
        <v>376</v>
      </c>
      <c r="B227" t="s">
        <v>377</v>
      </c>
      <c r="C227" s="71">
        <v>512472.68</v>
      </c>
      <c r="D227" s="45">
        <v>513049.94</v>
      </c>
      <c r="E227" s="45">
        <v>475457</v>
      </c>
      <c r="F227" s="16">
        <f t="shared" si="13"/>
        <v>494157.26</v>
      </c>
      <c r="G227" s="3">
        <f t="shared" ref="G227:G261" si="14">+F227/$F$264</f>
        <v>5.307449710447423E-5</v>
      </c>
      <c r="I227" s="16"/>
      <c r="J227" s="85"/>
    </row>
    <row r="228" spans="1:11" outlineLevel="1">
      <c r="A228" t="s">
        <v>378</v>
      </c>
      <c r="B228" t="s">
        <v>379</v>
      </c>
      <c r="C228" s="71">
        <v>1403354.49</v>
      </c>
      <c r="D228" s="45">
        <v>1466027.7</v>
      </c>
      <c r="E228" s="45">
        <v>1485237</v>
      </c>
      <c r="F228" s="16">
        <f t="shared" si="13"/>
        <v>1465186.8150000002</v>
      </c>
      <c r="G228" s="3">
        <f t="shared" si="14"/>
        <v>1.5736701585691834E-4</v>
      </c>
      <c r="I228" s="16"/>
      <c r="J228" s="85"/>
    </row>
    <row r="229" spans="1:11" outlineLevel="1">
      <c r="A229" t="s">
        <v>511</v>
      </c>
      <c r="B229" t="s">
        <v>512</v>
      </c>
      <c r="C229" s="71">
        <v>193268.33473746921</v>
      </c>
      <c r="D229" s="45">
        <v>192286.25</v>
      </c>
      <c r="E229" s="45">
        <v>197353.97749999998</v>
      </c>
      <c r="F229" s="16">
        <f t="shared" si="13"/>
        <v>194983.79453957817</v>
      </c>
      <c r="G229" s="3">
        <f>+F229/$F$264</f>
        <v>2.0942051602581414E-5</v>
      </c>
      <c r="I229" s="16"/>
      <c r="J229" s="85"/>
    </row>
    <row r="230" spans="1:11" outlineLevel="1">
      <c r="A230" t="s">
        <v>380</v>
      </c>
      <c r="B230" t="s">
        <v>381</v>
      </c>
      <c r="C230" s="71">
        <v>871312.20031326311</v>
      </c>
      <c r="D230" s="45">
        <v>790056.5</v>
      </c>
      <c r="E230" s="45">
        <v>834832.83100000001</v>
      </c>
      <c r="F230" s="16">
        <f t="shared" si="13"/>
        <v>825987.28221887723</v>
      </c>
      <c r="G230" s="3">
        <f t="shared" si="14"/>
        <v>8.8714389460671562E-5</v>
      </c>
      <c r="I230" s="16"/>
      <c r="J230" s="85"/>
    </row>
    <row r="231" spans="1:11" outlineLevel="1">
      <c r="A231" t="s">
        <v>382</v>
      </c>
      <c r="B231" t="s">
        <v>383</v>
      </c>
      <c r="C231" s="71">
        <v>811651.64007963135</v>
      </c>
      <c r="D231" s="45">
        <v>849694.08</v>
      </c>
      <c r="E231" s="45">
        <v>827332.32000000007</v>
      </c>
      <c r="F231" s="16">
        <f t="shared" si="13"/>
        <v>832172.79334660526</v>
      </c>
      <c r="G231" s="3">
        <f t="shared" si="14"/>
        <v>8.9378738482758774E-5</v>
      </c>
      <c r="I231" s="16"/>
      <c r="J231" s="85"/>
    </row>
    <row r="232" spans="1:11" outlineLevel="1">
      <c r="A232" t="s">
        <v>384</v>
      </c>
      <c r="B232" t="s">
        <v>385</v>
      </c>
      <c r="C232" s="71">
        <v>3396123.4044640241</v>
      </c>
      <c r="D232" s="45">
        <v>3222057.33</v>
      </c>
      <c r="E232" s="45">
        <v>3185137.398</v>
      </c>
      <c r="F232" s="16">
        <f t="shared" si="13"/>
        <v>3232608.3764106706</v>
      </c>
      <c r="G232" s="3">
        <f t="shared" si="14"/>
        <v>3.4719527122541367E-4</v>
      </c>
      <c r="I232" s="16"/>
      <c r="J232" s="85"/>
    </row>
    <row r="233" spans="1:11" s="49" customFormat="1" outlineLevel="1">
      <c r="A233" s="49" t="s">
        <v>564</v>
      </c>
      <c r="B233" s="49" t="s">
        <v>565</v>
      </c>
      <c r="C233" s="71">
        <v>158299.40113651683</v>
      </c>
      <c r="D233" s="45">
        <v>181827.29</v>
      </c>
      <c r="E233" s="45">
        <v>186529.60949999999</v>
      </c>
      <c r="F233" s="16">
        <f t="shared" ref="F233:F261" si="15">IF(C233&gt;0,(+C233+(D233*2)+(E233*3))/6,IF(D233&gt;0,((D233*2)+(E233*3))/5,E233))</f>
        <v>180257.13493941945</v>
      </c>
      <c r="G233" s="3">
        <f t="shared" si="14"/>
        <v>1.9360348538445105E-5</v>
      </c>
      <c r="I233" s="16"/>
      <c r="J233" s="85"/>
      <c r="K233" s="86"/>
    </row>
    <row r="234" spans="1:11" outlineLevel="1">
      <c r="A234" t="s">
        <v>386</v>
      </c>
      <c r="B234" t="s">
        <v>387</v>
      </c>
      <c r="C234" s="71">
        <v>493699.9498675302</v>
      </c>
      <c r="D234" s="45">
        <v>494096.72</v>
      </c>
      <c r="E234" s="45">
        <v>479140.74180000002</v>
      </c>
      <c r="F234" s="16">
        <f t="shared" si="15"/>
        <v>486552.60254458833</v>
      </c>
      <c r="G234" s="3">
        <f t="shared" si="14"/>
        <v>5.2257726001894932E-5</v>
      </c>
      <c r="I234" s="16"/>
      <c r="J234" s="85"/>
    </row>
    <row r="235" spans="1:11" outlineLevel="1">
      <c r="A235" t="s">
        <v>388</v>
      </c>
      <c r="B235" t="s">
        <v>389</v>
      </c>
      <c r="C235" s="71">
        <v>685561.91403943906</v>
      </c>
      <c r="D235" s="45">
        <v>709694.32</v>
      </c>
      <c r="E235" s="45">
        <v>718578.67599999998</v>
      </c>
      <c r="F235" s="16">
        <f t="shared" si="15"/>
        <v>710114.43033990648</v>
      </c>
      <c r="G235" s="3">
        <f t="shared" si="14"/>
        <v>7.6269174466688463E-5</v>
      </c>
      <c r="I235" s="16"/>
      <c r="J235" s="85"/>
    </row>
    <row r="236" spans="1:11" outlineLevel="1">
      <c r="A236" t="s">
        <v>390</v>
      </c>
      <c r="B236" t="s">
        <v>391</v>
      </c>
      <c r="C236" s="71">
        <v>354446.40427164349</v>
      </c>
      <c r="D236" s="45">
        <v>339443.83</v>
      </c>
      <c r="E236" s="45">
        <v>310889.73719999997</v>
      </c>
      <c r="F236" s="16">
        <f t="shared" si="15"/>
        <v>327667.21264527389</v>
      </c>
      <c r="G236" s="3">
        <f t="shared" si="14"/>
        <v>3.5192789697702166E-5</v>
      </c>
      <c r="I236" s="16"/>
      <c r="J236" s="85"/>
    </row>
    <row r="237" spans="1:11" outlineLevel="1">
      <c r="A237" t="s">
        <v>392</v>
      </c>
      <c r="B237" t="s">
        <v>393</v>
      </c>
      <c r="C237" s="71">
        <v>2042582.1159164624</v>
      </c>
      <c r="D237" s="45">
        <v>2153200.9</v>
      </c>
      <c r="E237" s="45">
        <v>2163951.9467999996</v>
      </c>
      <c r="F237" s="16">
        <f t="shared" si="15"/>
        <v>2140139.9593860768</v>
      </c>
      <c r="G237" s="3">
        <f t="shared" si="14"/>
        <v>2.2985972537893287E-4</v>
      </c>
      <c r="I237" s="16"/>
      <c r="J237" s="85"/>
    </row>
    <row r="238" spans="1:11" outlineLevel="1">
      <c r="A238" t="s">
        <v>394</v>
      </c>
      <c r="B238" t="s">
        <v>395</v>
      </c>
      <c r="C238" s="71">
        <v>358341.39509785362</v>
      </c>
      <c r="D238" s="45">
        <v>400237.24</v>
      </c>
      <c r="E238" s="45">
        <v>411617.82949999999</v>
      </c>
      <c r="F238" s="16">
        <f t="shared" si="15"/>
        <v>398944.8939329756</v>
      </c>
      <c r="G238" s="3">
        <f t="shared" si="14"/>
        <v>4.2848302214340616E-5</v>
      </c>
      <c r="I238" s="16"/>
      <c r="J238" s="85"/>
    </row>
    <row r="239" spans="1:11" outlineLevel="1">
      <c r="A239" t="s">
        <v>396</v>
      </c>
      <c r="B239" t="s">
        <v>397</v>
      </c>
      <c r="C239" s="71">
        <v>2630891.5235557761</v>
      </c>
      <c r="D239" s="45">
        <v>2437132.12</v>
      </c>
      <c r="E239" s="45">
        <v>2330031.4211999997</v>
      </c>
      <c r="F239" s="16">
        <f t="shared" si="15"/>
        <v>2415875.0045259628</v>
      </c>
      <c r="G239" s="3">
        <f t="shared" si="14"/>
        <v>2.5947478932614464E-4</v>
      </c>
      <c r="I239" s="16"/>
      <c r="J239" s="85"/>
    </row>
    <row r="240" spans="1:11" outlineLevel="1">
      <c r="A240" t="s">
        <v>398</v>
      </c>
      <c r="B240" t="s">
        <v>399</v>
      </c>
      <c r="C240" s="71">
        <v>1020936.1994711079</v>
      </c>
      <c r="D240" s="45">
        <v>1079717.74</v>
      </c>
      <c r="E240" s="45">
        <v>1063486.3315000001</v>
      </c>
      <c r="F240" s="16">
        <f t="shared" si="15"/>
        <v>1061805.1123285179</v>
      </c>
      <c r="G240" s="3">
        <f t="shared" si="14"/>
        <v>1.1404218236072432E-4</v>
      </c>
      <c r="I240" s="16"/>
      <c r="J240" s="85"/>
    </row>
    <row r="241" spans="1:10" outlineLevel="1">
      <c r="A241" t="s">
        <v>400</v>
      </c>
      <c r="B241" t="s">
        <v>401</v>
      </c>
      <c r="C241" s="71">
        <v>15645306.16250746</v>
      </c>
      <c r="D241" s="45">
        <v>16039184.5</v>
      </c>
      <c r="E241" s="45">
        <v>15563479.885199999</v>
      </c>
      <c r="F241" s="16">
        <f t="shared" si="15"/>
        <v>15735685.803017909</v>
      </c>
      <c r="G241" s="3">
        <f t="shared" si="14"/>
        <v>1.6900765772199526E-3</v>
      </c>
      <c r="I241" s="16"/>
      <c r="J241" s="85"/>
    </row>
    <row r="242" spans="1:10" outlineLevel="1">
      <c r="A242" t="s">
        <v>402</v>
      </c>
      <c r="B242" t="s">
        <v>403</v>
      </c>
      <c r="C242" s="71">
        <v>3548035.8709791373</v>
      </c>
      <c r="D242" s="45">
        <v>3708505.98</v>
      </c>
      <c r="E242" s="45">
        <v>3984966.9740000004</v>
      </c>
      <c r="F242" s="16">
        <f t="shared" si="15"/>
        <v>3819991.458829856</v>
      </c>
      <c r="G242" s="3">
        <f t="shared" si="14"/>
        <v>4.1028260036244632E-4</v>
      </c>
      <c r="I242" s="16"/>
      <c r="J242" s="85"/>
    </row>
    <row r="243" spans="1:10" outlineLevel="1">
      <c r="A243" t="s">
        <v>404</v>
      </c>
      <c r="B243" t="s">
        <v>405</v>
      </c>
      <c r="C243" s="71">
        <v>937177.84539545607</v>
      </c>
      <c r="D243" s="45">
        <v>942380.38</v>
      </c>
      <c r="E243" s="45">
        <v>929349.6</v>
      </c>
      <c r="F243" s="16">
        <f t="shared" si="15"/>
        <v>934997.90089924261</v>
      </c>
      <c r="G243" s="3">
        <f t="shared" si="14"/>
        <v>1.0042257273315449E-4</v>
      </c>
      <c r="I243" s="16"/>
      <c r="J243" s="85"/>
    </row>
    <row r="244" spans="1:10" outlineLevel="1">
      <c r="A244" t="s">
        <v>406</v>
      </c>
      <c r="B244" t="s">
        <v>407</v>
      </c>
      <c r="C244" s="71">
        <v>6135824.998167526</v>
      </c>
      <c r="D244" s="45">
        <v>6382236.1699999999</v>
      </c>
      <c r="E244" s="45">
        <v>5952667.4275000002</v>
      </c>
      <c r="F244" s="16">
        <f t="shared" si="15"/>
        <v>6126383.2701112544</v>
      </c>
      <c r="G244" s="3">
        <f t="shared" si="14"/>
        <v>6.5799844998820644E-4</v>
      </c>
      <c r="I244" s="16"/>
      <c r="J244" s="85"/>
    </row>
    <row r="245" spans="1:10" outlineLevel="1">
      <c r="A245" t="s">
        <v>408</v>
      </c>
      <c r="B245" t="s">
        <v>409</v>
      </c>
      <c r="C245" s="71">
        <v>11592724.715113077</v>
      </c>
      <c r="D245" s="45">
        <v>11303149.15</v>
      </c>
      <c r="E245" s="45">
        <v>11611035.155399999</v>
      </c>
      <c r="F245" s="16">
        <f t="shared" si="15"/>
        <v>11505354.746885514</v>
      </c>
      <c r="G245" s="3">
        <f t="shared" si="14"/>
        <v>1.235721837213368E-3</v>
      </c>
      <c r="I245" s="16"/>
      <c r="J245" s="85"/>
    </row>
    <row r="246" spans="1:10" outlineLevel="1">
      <c r="A246" t="s">
        <v>410</v>
      </c>
      <c r="B246" t="s">
        <v>411</v>
      </c>
      <c r="C246" s="71">
        <v>220741.5547114709</v>
      </c>
      <c r="D246" s="45">
        <v>196769.7</v>
      </c>
      <c r="E246" s="45">
        <v>210030.77789999999</v>
      </c>
      <c r="F246" s="16">
        <f t="shared" si="15"/>
        <v>207395.5480685785</v>
      </c>
      <c r="G246" s="3">
        <f t="shared" si="14"/>
        <v>2.2275124350994287E-5</v>
      </c>
      <c r="I246" s="16"/>
      <c r="J246" s="85"/>
    </row>
    <row r="247" spans="1:10" outlineLevel="1">
      <c r="A247" t="s">
        <v>412</v>
      </c>
      <c r="B247" t="s">
        <v>413</v>
      </c>
      <c r="C247" s="71">
        <v>594162.67501670786</v>
      </c>
      <c r="D247" s="45">
        <v>565103.74</v>
      </c>
      <c r="E247" s="45">
        <v>607795.85039999988</v>
      </c>
      <c r="F247" s="16">
        <f t="shared" si="15"/>
        <v>591292.95103611785</v>
      </c>
      <c r="G247" s="3">
        <f t="shared" si="14"/>
        <v>6.3507264909276969E-5</v>
      </c>
      <c r="I247" s="16"/>
      <c r="J247" s="85"/>
    </row>
    <row r="248" spans="1:10" outlineLevel="1">
      <c r="A248" t="s">
        <v>414</v>
      </c>
      <c r="B248" t="s">
        <v>415</v>
      </c>
      <c r="C248" s="71">
        <v>1875603.8141292939</v>
      </c>
      <c r="D248" s="45">
        <v>1832904.2</v>
      </c>
      <c r="E248" s="45">
        <v>1852361.9135</v>
      </c>
      <c r="F248" s="16">
        <f t="shared" si="15"/>
        <v>1849749.6591048825</v>
      </c>
      <c r="G248" s="3">
        <f t="shared" si="14"/>
        <v>1.9867062749652666E-4</v>
      </c>
      <c r="I248" s="16"/>
      <c r="J248" s="85"/>
    </row>
    <row r="249" spans="1:10" outlineLevel="1">
      <c r="A249" t="s">
        <v>416</v>
      </c>
      <c r="B249" t="s">
        <v>417</v>
      </c>
      <c r="C249" s="71">
        <v>310222.89460082003</v>
      </c>
      <c r="D249" s="45">
        <v>320095.13</v>
      </c>
      <c r="E249" s="45">
        <v>328623.22080000001</v>
      </c>
      <c r="F249" s="16">
        <f t="shared" si="15"/>
        <v>322713.80283346999</v>
      </c>
      <c r="G249" s="3">
        <f t="shared" si="14"/>
        <v>3.4660773362024204E-5</v>
      </c>
      <c r="I249" s="16"/>
      <c r="J249" s="85"/>
    </row>
    <row r="250" spans="1:10" outlineLevel="1">
      <c r="A250" t="s">
        <v>418</v>
      </c>
      <c r="B250" t="s">
        <v>419</v>
      </c>
      <c r="C250" s="71">
        <v>449493.04733065632</v>
      </c>
      <c r="D250" s="45">
        <v>457900.41</v>
      </c>
      <c r="E250" s="45">
        <v>474542.57339999994</v>
      </c>
      <c r="F250" s="16">
        <f t="shared" si="15"/>
        <v>464820.26458844269</v>
      </c>
      <c r="G250" s="3">
        <f t="shared" si="14"/>
        <v>4.9923584623648445E-5</v>
      </c>
      <c r="I250" s="16"/>
      <c r="J250" s="85"/>
    </row>
    <row r="251" spans="1:10" outlineLevel="1">
      <c r="A251" t="s">
        <v>420</v>
      </c>
      <c r="B251" t="s">
        <v>421</v>
      </c>
      <c r="C251" s="71">
        <v>2850299.9265236743</v>
      </c>
      <c r="D251" s="45">
        <v>2837959.56</v>
      </c>
      <c r="E251" s="45">
        <v>2761875.6856</v>
      </c>
      <c r="F251" s="16">
        <f t="shared" si="15"/>
        <v>2801974.3505539461</v>
      </c>
      <c r="G251" s="3">
        <f t="shared" si="14"/>
        <v>3.0094342751391828E-4</v>
      </c>
      <c r="I251" s="16"/>
      <c r="J251" s="85"/>
    </row>
    <row r="252" spans="1:10" outlineLevel="1">
      <c r="A252" t="s">
        <v>422</v>
      </c>
      <c r="B252" t="s">
        <v>423</v>
      </c>
      <c r="C252" s="71">
        <v>1179998.1351992756</v>
      </c>
      <c r="D252" s="45">
        <v>1129594.03</v>
      </c>
      <c r="E252" s="45">
        <v>1147324.5209999999</v>
      </c>
      <c r="F252" s="16">
        <f t="shared" si="15"/>
        <v>1146859.9596998792</v>
      </c>
      <c r="G252" s="3">
        <f t="shared" si="14"/>
        <v>1.2317741848076597E-4</v>
      </c>
      <c r="I252" s="16"/>
      <c r="J252" s="85"/>
    </row>
    <row r="253" spans="1:10" outlineLevel="1">
      <c r="A253" t="s">
        <v>424</v>
      </c>
      <c r="B253" t="s">
        <v>425</v>
      </c>
      <c r="C253" s="71">
        <v>2084720.8958311905</v>
      </c>
      <c r="D253" s="45">
        <v>2008858.67</v>
      </c>
      <c r="E253" s="45">
        <v>2014818.3267999999</v>
      </c>
      <c r="F253" s="16">
        <f t="shared" si="15"/>
        <v>2024482.2027051982</v>
      </c>
      <c r="G253" s="3">
        <f t="shared" si="14"/>
        <v>2.1743761248299104E-4</v>
      </c>
      <c r="I253" s="16"/>
      <c r="J253" s="85"/>
    </row>
    <row r="254" spans="1:10" outlineLevel="1">
      <c r="A254" t="s">
        <v>426</v>
      </c>
      <c r="B254" t="s">
        <v>427</v>
      </c>
      <c r="C254" s="71">
        <v>89823.956311954738</v>
      </c>
      <c r="D254" s="45">
        <v>90865.83</v>
      </c>
      <c r="E254" s="45">
        <v>93881.466</v>
      </c>
      <c r="F254" s="16">
        <f t="shared" si="15"/>
        <v>92200.002385325788</v>
      </c>
      <c r="G254" s="3">
        <f t="shared" si="14"/>
        <v>9.9026547938048921E-6</v>
      </c>
      <c r="I254" s="16"/>
      <c r="J254" s="85"/>
    </row>
    <row r="255" spans="1:10" outlineLevel="1">
      <c r="A255" t="s">
        <v>428</v>
      </c>
      <c r="B255" t="s">
        <v>429</v>
      </c>
      <c r="C255" s="71">
        <v>980584.84092147404</v>
      </c>
      <c r="D255" s="45">
        <v>963693.87</v>
      </c>
      <c r="E255" s="45">
        <v>988928.79839999997</v>
      </c>
      <c r="F255" s="16">
        <f t="shared" si="15"/>
        <v>979126.49602024572</v>
      </c>
      <c r="G255" s="3">
        <f t="shared" si="14"/>
        <v>1.0516216310965567E-4</v>
      </c>
      <c r="I255" s="16"/>
      <c r="J255" s="85"/>
    </row>
    <row r="256" spans="1:10" outlineLevel="1">
      <c r="A256" t="s">
        <v>430</v>
      </c>
      <c r="B256" t="s">
        <v>431</v>
      </c>
      <c r="C256" s="71">
        <v>228584.83493523567</v>
      </c>
      <c r="D256" s="45">
        <v>239839.59</v>
      </c>
      <c r="E256" s="45">
        <v>253681.84740000003</v>
      </c>
      <c r="F256" s="16">
        <f t="shared" si="15"/>
        <v>244884.92618920596</v>
      </c>
      <c r="G256" s="3">
        <f t="shared" si="14"/>
        <v>2.6301635851628279E-5</v>
      </c>
      <c r="I256" s="16"/>
      <c r="J256" s="85"/>
    </row>
    <row r="257" spans="1:10" outlineLevel="1">
      <c r="A257" t="s">
        <v>432</v>
      </c>
      <c r="B257" t="s">
        <v>433</v>
      </c>
      <c r="C257" s="71">
        <v>4496212.3827041956</v>
      </c>
      <c r="D257" s="45">
        <v>4511800.09</v>
      </c>
      <c r="E257" s="45">
        <v>4168591.5435000001</v>
      </c>
      <c r="F257" s="16">
        <f t="shared" si="15"/>
        <v>4337597.8655340327</v>
      </c>
      <c r="G257" s="3">
        <f t="shared" si="14"/>
        <v>4.6587563107877765E-4</v>
      </c>
      <c r="I257" s="16"/>
      <c r="J257" s="85"/>
    </row>
    <row r="258" spans="1:10" outlineLevel="1">
      <c r="A258" t="s">
        <v>434</v>
      </c>
      <c r="B258" t="s">
        <v>435</v>
      </c>
      <c r="C258" s="71">
        <v>101069.67997728118</v>
      </c>
      <c r="D258" s="45">
        <v>117540.91</v>
      </c>
      <c r="E258" s="45">
        <v>103848.16680000001</v>
      </c>
      <c r="F258" s="16">
        <f t="shared" si="15"/>
        <v>107949.33339621354</v>
      </c>
      <c r="G258" s="3">
        <f t="shared" si="14"/>
        <v>1.1594196921780039E-5</v>
      </c>
      <c r="I258" s="16"/>
      <c r="J258" s="85"/>
    </row>
    <row r="259" spans="1:10" outlineLevel="1">
      <c r="A259" s="50" t="s">
        <v>569</v>
      </c>
      <c r="B259" s="50" t="s">
        <v>570</v>
      </c>
      <c r="C259" s="71">
        <v>992430.22196355637</v>
      </c>
      <c r="D259" s="45">
        <v>976519.05</v>
      </c>
      <c r="E259" s="45">
        <v>1038868.6949</v>
      </c>
      <c r="F259" s="16">
        <f>IF(C259&gt;0,(+C259+(D259*2)+(E196*3))/6,IF(D259&gt;0,((D259*2)+(E196*3))/5,E196))</f>
        <v>853937.56299392611</v>
      </c>
      <c r="G259" s="3">
        <f>+F259/$F$264</f>
        <v>9.1716363156382462E-5</v>
      </c>
      <c r="I259" s="16"/>
      <c r="J259" s="85"/>
    </row>
    <row r="260" spans="1:10" outlineLevel="1">
      <c r="A260" t="s">
        <v>436</v>
      </c>
      <c r="B260" t="s">
        <v>437</v>
      </c>
      <c r="C260" s="71">
        <v>352521.21420620719</v>
      </c>
      <c r="D260" s="45">
        <v>339585.1</v>
      </c>
      <c r="E260" s="45">
        <v>336285.15659999999</v>
      </c>
      <c r="F260" s="16">
        <f t="shared" si="15"/>
        <v>340091.14733436785</v>
      </c>
      <c r="G260" s="3">
        <f t="shared" si="14"/>
        <v>3.6527170752191769E-5</v>
      </c>
      <c r="I260" s="16"/>
      <c r="J260" s="85"/>
    </row>
    <row r="261" spans="1:10" outlineLevel="1">
      <c r="A261" t="s">
        <v>438</v>
      </c>
      <c r="B261" t="s">
        <v>439</v>
      </c>
      <c r="C261" s="48">
        <v>309086.32190293726</v>
      </c>
      <c r="D261" s="48">
        <v>318149.43</v>
      </c>
      <c r="E261" s="48">
        <v>327698.27299999999</v>
      </c>
      <c r="F261" s="20">
        <f t="shared" si="15"/>
        <v>321413.33348382288</v>
      </c>
      <c r="G261" s="24">
        <f t="shared" si="14"/>
        <v>3.4521097671066429E-5</v>
      </c>
      <c r="I261" s="16"/>
      <c r="J261" s="85"/>
    </row>
    <row r="262" spans="1:10">
      <c r="B262" t="s">
        <v>483</v>
      </c>
      <c r="C262" s="58">
        <f>SUBTOTAL(9,C140:C261)</f>
        <v>271406004.30667156</v>
      </c>
      <c r="D262" s="58">
        <f>SUBTOTAL(9,D140:D261)</f>
        <v>274633036.49999994</v>
      </c>
      <c r="E262" s="58">
        <f>SUBTOTAL(9,E140:E261)</f>
        <v>269027553.03290004</v>
      </c>
      <c r="F262" s="16">
        <f>SUBTOTAL(9,F140:F261)</f>
        <v>271292456.06756181</v>
      </c>
      <c r="G262" s="3">
        <f>SUBTOTAL(9,G140:G261)</f>
        <v>2.913791183402531E-2</v>
      </c>
    </row>
    <row r="263" spans="1:10">
      <c r="C263" s="40"/>
      <c r="D263" s="40"/>
      <c r="E263" s="37"/>
      <c r="F263" s="16"/>
    </row>
    <row r="264" spans="1:10" ht="13.5" thickBot="1">
      <c r="C264" s="43">
        <f>SUBTOTAL(9,C5:C263)</f>
        <v>8822236893.0460796</v>
      </c>
      <c r="D264" s="43">
        <f>SUBTOTAL(9,D5:D263)</f>
        <v>9205960740.958992</v>
      </c>
      <c r="E264" s="43">
        <f>SUBTOTAL(9,E5:E263)</f>
        <v>9543216818.3909168</v>
      </c>
      <c r="F264" s="17">
        <f>SUBTOTAL(9,F5:F263)</f>
        <v>9310634805.0228081</v>
      </c>
      <c r="G264" s="12">
        <f>SUBTOTAL(9,G5:G263)</f>
        <v>0.99999999999999878</v>
      </c>
    </row>
    <row r="265" spans="1:10" ht="13.5" thickTop="1"/>
    <row r="266" spans="1:10">
      <c r="C266" s="45"/>
      <c r="D266" s="45"/>
      <c r="E266" s="39"/>
    </row>
    <row r="267" spans="1:10">
      <c r="C267" s="37">
        <f>C264-C271</f>
        <v>-6.008148193359375E-4</v>
      </c>
      <c r="D267" s="37">
        <f>D264-D271</f>
        <v>-9.9945068359375E-4</v>
      </c>
      <c r="E267" s="37">
        <f>E264-E271</f>
        <v>-2.0008087158203125E-3</v>
      </c>
    </row>
    <row r="268" spans="1:10">
      <c r="E268" s="37"/>
      <c r="F268" s="16"/>
    </row>
    <row r="269" spans="1:10">
      <c r="C269" s="40"/>
      <c r="D269" s="40"/>
      <c r="E269" s="40"/>
    </row>
    <row r="270" spans="1:10">
      <c r="C270" s="40"/>
      <c r="D270" s="40"/>
      <c r="E270" s="37"/>
    </row>
    <row r="271" spans="1:10" ht="13.5" thickBot="1">
      <c r="C271" s="43">
        <v>8822236893.0466805</v>
      </c>
      <c r="D271" s="43">
        <v>9205960740.9599915</v>
      </c>
      <c r="E271" s="43">
        <v>9543216818.3929176</v>
      </c>
    </row>
    <row r="272" spans="1:10" ht="13.5" thickTop="1"/>
    <row r="273" spans="3:5">
      <c r="C273" s="65"/>
      <c r="E273" s="37"/>
    </row>
    <row r="276" spans="3:5">
      <c r="C276" s="40"/>
    </row>
  </sheetData>
  <phoneticPr fontId="8" type="noConversion"/>
  <printOptions horizontalCentered="1"/>
  <pageMargins left="0.17" right="0.17" top="0.75" bottom="0.5" header="0.25" footer="0.25"/>
  <pageSetup scale="90" fitToHeight="6" orientation="landscape" horizontalDpi="200" verticalDpi="200" r:id="rId1"/>
  <headerFooter alignWithMargins="0">
    <oddHeader>&amp;C&amp;"Arial,Bold"&amp;14
Payroll Data
FY 2018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3"/>
  <sheetViews>
    <sheetView zoomScaleNormal="100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A261" sqref="A5:XFD261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52" hidden="1" customWidth="1"/>
    <col min="7" max="7" width="10.42578125" style="52" customWidth="1"/>
    <col min="8" max="11" width="10.42578125" style="52" hidden="1" customWidth="1"/>
    <col min="12" max="12" width="10.85546875" style="52" bestFit="1" customWidth="1"/>
    <col min="13" max="13" width="10.85546875" style="52" hidden="1" customWidth="1"/>
    <col min="14" max="16" width="10.42578125" style="52" hidden="1" customWidth="1"/>
    <col min="17" max="17" width="10.85546875" style="52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T1" s="1" t="s">
        <v>447</v>
      </c>
      <c r="Z1" s="1"/>
      <c r="AA1" s="1"/>
      <c r="AB1" s="1"/>
      <c r="AC1" s="1"/>
      <c r="AD1" s="1" t="s">
        <v>442</v>
      </c>
    </row>
    <row r="2" spans="1:31">
      <c r="A2" s="19" t="s">
        <v>460</v>
      </c>
      <c r="B2" s="19"/>
      <c r="C2" s="67">
        <v>2014</v>
      </c>
      <c r="D2" s="61"/>
      <c r="E2" s="61"/>
      <c r="F2" s="61"/>
      <c r="G2" s="1" t="s">
        <v>568</v>
      </c>
      <c r="H2" s="67">
        <v>2015</v>
      </c>
      <c r="I2" s="61"/>
      <c r="J2" s="61"/>
      <c r="K2" s="61"/>
      <c r="L2" s="1" t="s">
        <v>574</v>
      </c>
      <c r="M2" s="67">
        <v>2016</v>
      </c>
      <c r="N2" s="61"/>
      <c r="O2" s="61"/>
      <c r="P2" s="61"/>
      <c r="Q2" s="1" t="s">
        <v>576</v>
      </c>
      <c r="R2" s="1" t="s">
        <v>446</v>
      </c>
      <c r="S2" s="1"/>
      <c r="T2" s="1" t="s">
        <v>3</v>
      </c>
      <c r="U2" s="1"/>
      <c r="V2" s="1" t="s">
        <v>567</v>
      </c>
      <c r="W2" s="1" t="s">
        <v>573</v>
      </c>
      <c r="X2" s="1" t="s">
        <v>575</v>
      </c>
      <c r="Y2" s="1"/>
      <c r="Z2" s="1" t="s">
        <v>567</v>
      </c>
      <c r="AA2" s="1" t="s">
        <v>573</v>
      </c>
      <c r="AB2" s="1" t="s">
        <v>575</v>
      </c>
      <c r="AC2" s="1"/>
      <c r="AD2" s="1" t="s">
        <v>446</v>
      </c>
      <c r="AE2" s="1"/>
    </row>
    <row r="3" spans="1:31">
      <c r="A3" s="11" t="s">
        <v>458</v>
      </c>
      <c r="B3" s="11" t="s">
        <v>459</v>
      </c>
      <c r="C3" s="11" t="s">
        <v>462</v>
      </c>
      <c r="D3" s="62" t="s">
        <v>463</v>
      </c>
      <c r="E3" s="62" t="s">
        <v>464</v>
      </c>
      <c r="F3" s="62" t="s">
        <v>465</v>
      </c>
      <c r="G3" s="11" t="s">
        <v>447</v>
      </c>
      <c r="H3" s="11" t="s">
        <v>462</v>
      </c>
      <c r="I3" s="62" t="s">
        <v>463</v>
      </c>
      <c r="J3" s="62" t="s">
        <v>464</v>
      </c>
      <c r="K3" s="62" t="s">
        <v>465</v>
      </c>
      <c r="L3" s="11" t="s">
        <v>447</v>
      </c>
      <c r="M3" s="11" t="s">
        <v>462</v>
      </c>
      <c r="N3" s="62" t="s">
        <v>463</v>
      </c>
      <c r="O3" s="62" t="s">
        <v>464</v>
      </c>
      <c r="P3" s="62" t="s">
        <v>465</v>
      </c>
      <c r="Q3" s="11" t="s">
        <v>447</v>
      </c>
      <c r="R3" s="11" t="s">
        <v>478</v>
      </c>
      <c r="S3" s="11"/>
      <c r="T3" s="11" t="s">
        <v>5</v>
      </c>
      <c r="U3" s="11"/>
      <c r="V3" s="11" t="s">
        <v>448</v>
      </c>
      <c r="W3" s="11" t="s">
        <v>448</v>
      </c>
      <c r="X3" s="11" t="s">
        <v>448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449</v>
      </c>
      <c r="AE3" s="11"/>
    </row>
    <row r="4" spans="1:31" ht="3" customHeight="1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"/>
      <c r="Z4" s="6"/>
      <c r="AA4" s="6"/>
      <c r="AB4" s="6"/>
      <c r="AD4" s="6"/>
    </row>
    <row r="5" spans="1:31">
      <c r="A5" t="s">
        <v>7</v>
      </c>
      <c r="B5" t="s">
        <v>515</v>
      </c>
      <c r="C5" s="72">
        <v>483</v>
      </c>
      <c r="D5" s="72">
        <v>476</v>
      </c>
      <c r="E5" s="73">
        <v>468</v>
      </c>
      <c r="F5" s="72">
        <v>466</v>
      </c>
      <c r="G5" s="40">
        <f t="shared" ref="G5:G68" si="0">AVERAGE(C5:F5)</f>
        <v>473.25</v>
      </c>
      <c r="H5" s="72">
        <v>470</v>
      </c>
      <c r="I5" s="72">
        <v>550</v>
      </c>
      <c r="J5" s="73">
        <v>633</v>
      </c>
      <c r="K5" s="72">
        <v>548</v>
      </c>
      <c r="L5" s="40">
        <f t="shared" ref="L5:L68" si="1">AVERAGE(H5:K5)</f>
        <v>550.25</v>
      </c>
      <c r="M5" s="72">
        <v>472</v>
      </c>
      <c r="N5" s="72">
        <v>467</v>
      </c>
      <c r="O5" s="73">
        <v>468</v>
      </c>
      <c r="P5" s="72">
        <v>477</v>
      </c>
      <c r="Q5" s="40">
        <f t="shared" ref="Q5:Q55" si="2">AVERAGE(M5:P5)</f>
        <v>471</v>
      </c>
      <c r="R5" s="16">
        <f t="shared" ref="R5:R36" si="3">IF(G5&gt;0,(+G5+(L5*2)+(Q5*3))/6,IF(L5&gt;0,((L5*2)+(Q5*3))/5,Q5))</f>
        <v>497.79166666666669</v>
      </c>
      <c r="T5" s="6">
        <f t="shared" ref="T5:T36" si="4">+R5/$R$264</f>
        <v>2.6403345434479909E-3</v>
      </c>
      <c r="V5" s="23">
        <f>+claims!D5</f>
        <v>2</v>
      </c>
      <c r="W5" s="23">
        <f>+claims!E5</f>
        <v>1</v>
      </c>
      <c r="X5" s="23">
        <f>+claims!F5</f>
        <v>2</v>
      </c>
      <c r="Z5" s="6">
        <f t="shared" ref="Z5:Z54" si="5">IF(G5&gt;100,IF(V5&lt;1,0,+V5/G5),IF(V5&lt;1,0,+V5/100))</f>
        <v>4.226096143687269E-3</v>
      </c>
      <c r="AA5" s="6">
        <f t="shared" ref="AA5:AA54" si="6">IF(L5&gt;100,IF(W5&lt;1,0,+W5/L5),IF(W5&lt;1,0,+W5/100))</f>
        <v>1.817355747387551E-3</v>
      </c>
      <c r="AB5" s="6">
        <f>IF(Q5&gt;100,IF(X5&lt;1,0,+X5/Q5),IF(X5&lt;1,0,+X5/100))</f>
        <v>4.246284501061571E-3</v>
      </c>
      <c r="AD5" s="6">
        <f t="shared" ref="AD5:AD67" si="7">(+Z5+(AA5*2)+(AB5*3))/6</f>
        <v>3.4332768569411806E-3</v>
      </c>
    </row>
    <row r="6" spans="1:31">
      <c r="A6" t="s">
        <v>8</v>
      </c>
      <c r="B6" t="s">
        <v>516</v>
      </c>
      <c r="C6" s="72">
        <v>724</v>
      </c>
      <c r="D6" s="72">
        <v>703</v>
      </c>
      <c r="E6" s="72">
        <v>705</v>
      </c>
      <c r="F6" s="72">
        <v>708</v>
      </c>
      <c r="G6" s="40">
        <f t="shared" si="0"/>
        <v>710</v>
      </c>
      <c r="H6" s="72">
        <v>699</v>
      </c>
      <c r="I6" s="72">
        <v>851</v>
      </c>
      <c r="J6" s="72">
        <v>996</v>
      </c>
      <c r="K6" s="72">
        <v>811</v>
      </c>
      <c r="L6" s="40">
        <f t="shared" si="1"/>
        <v>839.25</v>
      </c>
      <c r="M6" s="72">
        <v>723</v>
      </c>
      <c r="N6" s="72">
        <v>709</v>
      </c>
      <c r="O6" s="72">
        <v>710</v>
      </c>
      <c r="P6" s="72">
        <v>729</v>
      </c>
      <c r="Q6" s="40">
        <f t="shared" si="2"/>
        <v>717.75</v>
      </c>
      <c r="R6" s="16">
        <f t="shared" si="3"/>
        <v>756.95833333333337</v>
      </c>
      <c r="T6" s="6">
        <f t="shared" si="4"/>
        <v>4.0149792961261949E-3</v>
      </c>
      <c r="V6" s="23">
        <f>+claims!D6</f>
        <v>0</v>
      </c>
      <c r="W6" s="23">
        <f>+claims!E6</f>
        <v>0</v>
      </c>
      <c r="X6" s="23">
        <f>+claims!F6</f>
        <v>0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0</v>
      </c>
    </row>
    <row r="7" spans="1:31">
      <c r="A7" t="s">
        <v>9</v>
      </c>
      <c r="B7" t="s">
        <v>10</v>
      </c>
      <c r="C7" s="72">
        <v>385</v>
      </c>
      <c r="D7" s="72">
        <v>379</v>
      </c>
      <c r="E7" s="72">
        <v>378</v>
      </c>
      <c r="F7" s="72">
        <v>379</v>
      </c>
      <c r="G7" s="40">
        <f t="shared" si="0"/>
        <v>380.25</v>
      </c>
      <c r="H7" s="72">
        <v>392</v>
      </c>
      <c r="I7" s="72">
        <v>476</v>
      </c>
      <c r="J7" s="72">
        <v>477</v>
      </c>
      <c r="K7" s="72">
        <v>391</v>
      </c>
      <c r="L7" s="40">
        <f t="shared" si="1"/>
        <v>434</v>
      </c>
      <c r="M7" s="72">
        <v>381</v>
      </c>
      <c r="N7" s="72">
        <v>381</v>
      </c>
      <c r="O7" s="72">
        <v>384</v>
      </c>
      <c r="P7" s="72">
        <v>383</v>
      </c>
      <c r="Q7" s="40">
        <f t="shared" si="2"/>
        <v>382.25</v>
      </c>
      <c r="R7" s="16">
        <f t="shared" si="3"/>
        <v>399.16666666666669</v>
      </c>
      <c r="T7" s="6">
        <f t="shared" si="4"/>
        <v>2.1172181238998705E-3</v>
      </c>
      <c r="V7" s="23">
        <f>+claims!D7</f>
        <v>2</v>
      </c>
      <c r="W7" s="23">
        <f>+claims!E7</f>
        <v>1</v>
      </c>
      <c r="X7" s="23">
        <f>+claims!F7</f>
        <v>0</v>
      </c>
      <c r="Z7" s="6">
        <f t="shared" si="5"/>
        <v>5.2596975673898753E-3</v>
      </c>
      <c r="AA7" s="6">
        <f t="shared" si="6"/>
        <v>2.304147465437788E-3</v>
      </c>
      <c r="AB7" s="6">
        <f>IF(Q7&gt;100,IF(X7&lt;1,0,+X7/Q7),IF(X7&lt;1,0,+X7/100))</f>
        <v>0</v>
      </c>
      <c r="AD7" s="6">
        <f t="shared" si="7"/>
        <v>1.6446654163775754E-3</v>
      </c>
    </row>
    <row r="8" spans="1:31">
      <c r="A8" t="s">
        <v>11</v>
      </c>
      <c r="B8" t="s">
        <v>12</v>
      </c>
      <c r="C8" s="72">
        <v>149</v>
      </c>
      <c r="D8" s="72">
        <v>149</v>
      </c>
      <c r="E8" s="72">
        <v>146</v>
      </c>
      <c r="F8" s="72">
        <v>146</v>
      </c>
      <c r="G8" s="40">
        <f t="shared" si="0"/>
        <v>147.5</v>
      </c>
      <c r="H8" s="72">
        <v>147</v>
      </c>
      <c r="I8" s="72">
        <v>147</v>
      </c>
      <c r="J8" s="72">
        <v>147</v>
      </c>
      <c r="K8" s="72">
        <v>150</v>
      </c>
      <c r="L8" s="40">
        <f t="shared" si="1"/>
        <v>147.75</v>
      </c>
      <c r="M8" s="72">
        <v>154</v>
      </c>
      <c r="N8" s="72">
        <v>153</v>
      </c>
      <c r="O8" s="72">
        <v>154</v>
      </c>
      <c r="P8" s="72">
        <v>159</v>
      </c>
      <c r="Q8" s="40">
        <f t="shared" si="2"/>
        <v>155</v>
      </c>
      <c r="R8" s="16">
        <f t="shared" si="3"/>
        <v>151.33333333333334</v>
      </c>
      <c r="T8" s="6">
        <f t="shared" si="4"/>
        <v>8.0268645365389661E-4</v>
      </c>
      <c r="V8" s="23">
        <f>+claims!D8</f>
        <v>0</v>
      </c>
      <c r="W8" s="23">
        <f>+claims!E8</f>
        <v>1</v>
      </c>
      <c r="X8" s="23">
        <f>+claims!F8</f>
        <v>0</v>
      </c>
      <c r="Z8" s="6">
        <f t="shared" si="5"/>
        <v>0</v>
      </c>
      <c r="AA8" s="6">
        <f t="shared" si="6"/>
        <v>6.7681895093062603E-3</v>
      </c>
      <c r="AB8" s="6">
        <f>IF(Q8&gt;100,IF(X8&lt;1,0,+X8/Q8),IF(X8&lt;1,0,+X8/100))</f>
        <v>0</v>
      </c>
      <c r="AD8" s="6">
        <f t="shared" si="7"/>
        <v>2.2560631697687533E-3</v>
      </c>
    </row>
    <row r="9" spans="1:31">
      <c r="A9" t="s">
        <v>13</v>
      </c>
      <c r="B9" t="s">
        <v>14</v>
      </c>
      <c r="C9" s="72">
        <v>24</v>
      </c>
      <c r="D9" s="72">
        <v>24.4</v>
      </c>
      <c r="E9" s="72">
        <v>24.1</v>
      </c>
      <c r="F9" s="72">
        <v>22.3</v>
      </c>
      <c r="G9" s="40">
        <f t="shared" si="0"/>
        <v>23.7</v>
      </c>
      <c r="H9" s="72">
        <v>24.4</v>
      </c>
      <c r="I9" s="72">
        <v>27.4</v>
      </c>
      <c r="J9" s="72">
        <v>28.6</v>
      </c>
      <c r="K9" s="72">
        <v>26.9</v>
      </c>
      <c r="L9" s="40">
        <f t="shared" si="1"/>
        <v>26.825000000000003</v>
      </c>
      <c r="M9" s="72">
        <v>25.7</v>
      </c>
      <c r="N9" s="72">
        <v>25.3</v>
      </c>
      <c r="O9" s="72">
        <v>24.8</v>
      </c>
      <c r="P9" s="72">
        <v>24.6</v>
      </c>
      <c r="Q9" s="40">
        <f t="shared" si="2"/>
        <v>25.1</v>
      </c>
      <c r="R9" s="16">
        <f t="shared" si="3"/>
        <v>25.441666666666674</v>
      </c>
      <c r="T9" s="6">
        <f t="shared" si="4"/>
        <v>1.3494502990117548E-4</v>
      </c>
      <c r="V9" s="23">
        <f>+claims!D9</f>
        <v>1</v>
      </c>
      <c r="W9" s="23">
        <f>+claims!E9</f>
        <v>0</v>
      </c>
      <c r="X9" s="23">
        <f>+claims!F9</f>
        <v>0</v>
      </c>
      <c r="Z9" s="6">
        <f t="shared" si="5"/>
        <v>0.01</v>
      </c>
      <c r="AA9" s="6">
        <f t="shared" si="6"/>
        <v>0</v>
      </c>
      <c r="AB9" s="6">
        <f t="shared" ref="AB9:AB57" si="8">IF(Q9&gt;100,IF(X9&lt;1,0,+X9/Q9),IF(X9&lt;1,0,+X9/100))</f>
        <v>0</v>
      </c>
      <c r="AD9" s="6">
        <f t="shared" si="7"/>
        <v>1.6666666666666668E-3</v>
      </c>
    </row>
    <row r="10" spans="1:31">
      <c r="A10" t="s">
        <v>15</v>
      </c>
      <c r="B10" t="s">
        <v>16</v>
      </c>
      <c r="C10" s="72">
        <v>31</v>
      </c>
      <c r="D10" s="72">
        <v>32</v>
      </c>
      <c r="E10" s="72">
        <v>31</v>
      </c>
      <c r="F10" s="72">
        <v>31.5</v>
      </c>
      <c r="G10" s="40">
        <f t="shared" si="0"/>
        <v>31.375</v>
      </c>
      <c r="H10" s="72">
        <v>29.8</v>
      </c>
      <c r="I10" s="72">
        <v>27.7</v>
      </c>
      <c r="J10" s="72">
        <v>25</v>
      </c>
      <c r="K10" s="72">
        <v>25.4</v>
      </c>
      <c r="L10" s="40">
        <f t="shared" si="1"/>
        <v>26.975000000000001</v>
      </c>
      <c r="M10" s="72">
        <v>29.8</v>
      </c>
      <c r="N10" s="72">
        <v>29.4</v>
      </c>
      <c r="O10" s="72">
        <v>29.6</v>
      </c>
      <c r="P10" s="72">
        <v>30.4</v>
      </c>
      <c r="Q10" s="40">
        <f t="shared" si="2"/>
        <v>29.800000000000004</v>
      </c>
      <c r="R10" s="16">
        <f t="shared" si="3"/>
        <v>29.120833333333337</v>
      </c>
      <c r="T10" s="6">
        <f t="shared" si="4"/>
        <v>1.5445968129369723E-4</v>
      </c>
      <c r="V10" s="23">
        <f>+claims!D10</f>
        <v>1</v>
      </c>
      <c r="W10" s="23">
        <f>+claims!E10</f>
        <v>0</v>
      </c>
      <c r="X10" s="23">
        <f>+claims!F10</f>
        <v>0</v>
      </c>
      <c r="Z10" s="6">
        <f t="shared" si="5"/>
        <v>0.01</v>
      </c>
      <c r="AA10" s="6">
        <f t="shared" si="6"/>
        <v>0</v>
      </c>
      <c r="AB10" s="6">
        <f t="shared" si="8"/>
        <v>0</v>
      </c>
      <c r="AD10" s="6">
        <f t="shared" si="7"/>
        <v>1.6666666666666668E-3</v>
      </c>
    </row>
    <row r="11" spans="1:31">
      <c r="A11" t="s">
        <v>17</v>
      </c>
      <c r="B11" t="s">
        <v>18</v>
      </c>
      <c r="C11" s="72">
        <v>72</v>
      </c>
      <c r="D11" s="72">
        <v>74</v>
      </c>
      <c r="E11" s="72">
        <v>75</v>
      </c>
      <c r="F11" s="72">
        <v>75</v>
      </c>
      <c r="G11" s="40">
        <f t="shared" si="0"/>
        <v>74</v>
      </c>
      <c r="H11" s="72">
        <v>75</v>
      </c>
      <c r="I11" s="72">
        <v>75</v>
      </c>
      <c r="J11" s="72">
        <v>77</v>
      </c>
      <c r="K11" s="72">
        <v>72</v>
      </c>
      <c r="L11" s="40">
        <f t="shared" si="1"/>
        <v>74.75</v>
      </c>
      <c r="M11" s="72">
        <v>75</v>
      </c>
      <c r="N11" s="72">
        <v>77</v>
      </c>
      <c r="O11" s="72">
        <v>77</v>
      </c>
      <c r="P11" s="72">
        <v>73</v>
      </c>
      <c r="Q11" s="40">
        <f t="shared" si="2"/>
        <v>75.5</v>
      </c>
      <c r="R11" s="16">
        <f t="shared" si="3"/>
        <v>75</v>
      </c>
      <c r="T11" s="6">
        <f t="shared" si="4"/>
        <v>3.9780716315446414E-4</v>
      </c>
      <c r="V11" s="23">
        <f>+claims!D11</f>
        <v>0</v>
      </c>
      <c r="W11" s="23">
        <f>+claims!E11</f>
        <v>0</v>
      </c>
      <c r="X11" s="23">
        <f>+claims!F11</f>
        <v>0</v>
      </c>
      <c r="Z11" s="6">
        <f t="shared" si="5"/>
        <v>0</v>
      </c>
      <c r="AA11" s="6">
        <f t="shared" si="6"/>
        <v>0</v>
      </c>
      <c r="AB11" s="6">
        <f t="shared" si="8"/>
        <v>0</v>
      </c>
      <c r="AD11" s="6">
        <f t="shared" si="7"/>
        <v>0</v>
      </c>
    </row>
    <row r="12" spans="1:31">
      <c r="A12" t="s">
        <v>19</v>
      </c>
      <c r="B12" t="s">
        <v>20</v>
      </c>
      <c r="C12" s="72">
        <v>17.5</v>
      </c>
      <c r="D12" s="72">
        <v>21</v>
      </c>
      <c r="E12" s="72">
        <v>19</v>
      </c>
      <c r="F12" s="72">
        <v>25</v>
      </c>
      <c r="G12" s="40">
        <f t="shared" si="0"/>
        <v>20.625</v>
      </c>
      <c r="H12" s="72">
        <v>18</v>
      </c>
      <c r="I12" s="72">
        <v>18</v>
      </c>
      <c r="J12" s="72">
        <v>24</v>
      </c>
      <c r="K12" s="72">
        <v>27</v>
      </c>
      <c r="L12" s="40">
        <f t="shared" si="1"/>
        <v>21.75</v>
      </c>
      <c r="M12" s="72">
        <v>18</v>
      </c>
      <c r="N12" s="72">
        <v>18</v>
      </c>
      <c r="O12" s="72">
        <v>22</v>
      </c>
      <c r="P12" s="72">
        <v>26</v>
      </c>
      <c r="Q12" s="40">
        <f t="shared" si="2"/>
        <v>21</v>
      </c>
      <c r="R12" s="16">
        <f t="shared" si="3"/>
        <v>21.1875</v>
      </c>
      <c r="T12" s="6">
        <f t="shared" si="4"/>
        <v>1.1238052359113612E-4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72">
        <v>69</v>
      </c>
      <c r="D13" s="72">
        <v>69</v>
      </c>
      <c r="E13" s="72">
        <v>69</v>
      </c>
      <c r="F13" s="72">
        <v>69</v>
      </c>
      <c r="G13" s="40">
        <f t="shared" si="0"/>
        <v>69</v>
      </c>
      <c r="H13" s="72">
        <v>68</v>
      </c>
      <c r="I13" s="72">
        <v>67</v>
      </c>
      <c r="J13" s="72">
        <v>67</v>
      </c>
      <c r="K13" s="72">
        <v>65</v>
      </c>
      <c r="L13" s="40">
        <f t="shared" si="1"/>
        <v>66.75</v>
      </c>
      <c r="M13" s="72">
        <v>69</v>
      </c>
      <c r="N13" s="72">
        <v>71</v>
      </c>
      <c r="O13" s="72">
        <v>70</v>
      </c>
      <c r="P13" s="72">
        <v>68</v>
      </c>
      <c r="Q13" s="40">
        <f t="shared" si="2"/>
        <v>69.5</v>
      </c>
      <c r="R13" s="16">
        <f t="shared" si="3"/>
        <v>68.5</v>
      </c>
      <c r="T13" s="6">
        <f t="shared" si="4"/>
        <v>3.633305423477439E-4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73">
        <v>204</v>
      </c>
      <c r="D14" s="72">
        <v>209.4</v>
      </c>
      <c r="E14" s="72">
        <v>211.3</v>
      </c>
      <c r="F14" s="72">
        <v>214</v>
      </c>
      <c r="G14" s="40">
        <f t="shared" si="0"/>
        <v>209.67500000000001</v>
      </c>
      <c r="H14" s="73">
        <v>214.6</v>
      </c>
      <c r="I14" s="72">
        <v>213.7</v>
      </c>
      <c r="J14" s="72">
        <v>215.5</v>
      </c>
      <c r="K14" s="72">
        <v>211.7</v>
      </c>
      <c r="L14" s="40">
        <f t="shared" si="1"/>
        <v>213.875</v>
      </c>
      <c r="M14" s="73">
        <v>221.3</v>
      </c>
      <c r="N14" s="72">
        <v>227.1</v>
      </c>
      <c r="O14" s="72">
        <v>228</v>
      </c>
      <c r="P14" s="72">
        <v>232.5</v>
      </c>
      <c r="Q14" s="40">
        <f t="shared" si="2"/>
        <v>227.22499999999999</v>
      </c>
      <c r="R14" s="16">
        <f t="shared" si="3"/>
        <v>219.85</v>
      </c>
      <c r="T14" s="6">
        <f t="shared" si="4"/>
        <v>1.1661053975934525E-3</v>
      </c>
      <c r="V14" s="23">
        <f>+claims!D14</f>
        <v>1</v>
      </c>
      <c r="W14" s="23">
        <f>+claims!E14</f>
        <v>1</v>
      </c>
      <c r="X14" s="23">
        <f>+claims!F14</f>
        <v>0</v>
      </c>
      <c r="Z14" s="6">
        <f t="shared" si="5"/>
        <v>4.7692857994515317E-3</v>
      </c>
      <c r="AA14" s="6">
        <f t="shared" si="6"/>
        <v>4.6756282875511394E-3</v>
      </c>
      <c r="AB14" s="6">
        <f t="shared" si="8"/>
        <v>0</v>
      </c>
      <c r="AD14" s="6">
        <f t="shared" si="7"/>
        <v>2.353423729092302E-3</v>
      </c>
    </row>
    <row r="15" spans="1:31">
      <c r="A15" t="s">
        <v>25</v>
      </c>
      <c r="B15" t="s">
        <v>26</v>
      </c>
      <c r="C15" s="72">
        <v>4</v>
      </c>
      <c r="D15" s="72">
        <v>4</v>
      </c>
      <c r="E15" s="72">
        <v>4</v>
      </c>
      <c r="F15" s="72">
        <v>4</v>
      </c>
      <c r="G15" s="40">
        <f t="shared" si="0"/>
        <v>4</v>
      </c>
      <c r="H15" s="72">
        <v>4</v>
      </c>
      <c r="I15" s="72">
        <v>4</v>
      </c>
      <c r="J15" s="72">
        <v>4</v>
      </c>
      <c r="K15" s="72">
        <v>4</v>
      </c>
      <c r="L15" s="40">
        <f t="shared" si="1"/>
        <v>4</v>
      </c>
      <c r="M15" s="72">
        <v>3.1</v>
      </c>
      <c r="N15" s="72">
        <v>3.8</v>
      </c>
      <c r="O15" s="72">
        <v>4</v>
      </c>
      <c r="P15" s="72">
        <v>4</v>
      </c>
      <c r="Q15" s="40">
        <f t="shared" si="2"/>
        <v>3.7250000000000001</v>
      </c>
      <c r="R15" s="16">
        <f t="shared" si="3"/>
        <v>3.8625000000000003</v>
      </c>
      <c r="T15" s="6">
        <f t="shared" si="4"/>
        <v>2.0487068902454904E-5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548</v>
      </c>
      <c r="B16" t="s">
        <v>549</v>
      </c>
      <c r="C16" s="72">
        <v>11</v>
      </c>
      <c r="D16" s="72">
        <v>10</v>
      </c>
      <c r="E16" s="72">
        <v>11</v>
      </c>
      <c r="F16" s="72">
        <v>11</v>
      </c>
      <c r="G16" s="40">
        <f t="shared" si="0"/>
        <v>10.75</v>
      </c>
      <c r="H16" s="72">
        <v>13</v>
      </c>
      <c r="I16" s="72">
        <v>13</v>
      </c>
      <c r="J16" s="72">
        <v>13</v>
      </c>
      <c r="K16" s="72">
        <v>12.4</v>
      </c>
      <c r="L16" s="40">
        <f t="shared" si="1"/>
        <v>12.85</v>
      </c>
      <c r="M16" s="72">
        <v>12</v>
      </c>
      <c r="N16" s="72">
        <v>14</v>
      </c>
      <c r="O16" s="72">
        <v>15</v>
      </c>
      <c r="P16" s="72">
        <v>14.6</v>
      </c>
      <c r="Q16" s="40">
        <f t="shared" si="2"/>
        <v>13.9</v>
      </c>
      <c r="R16" s="16">
        <f>IF(G16&gt;0,(+G16+(L16*2)+(Q16*3))/6,IF(L16&gt;0,((L16*2)+(Q16*3))/5,Q16))</f>
        <v>13.025</v>
      </c>
      <c r="T16" s="6">
        <f t="shared" si="4"/>
        <v>6.9085844001158615E-5</v>
      </c>
      <c r="V16" s="23">
        <f>+claims!D16</f>
        <v>0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0</v>
      </c>
    </row>
    <row r="17" spans="1:30">
      <c r="A17" t="s">
        <v>27</v>
      </c>
      <c r="B17" t="s">
        <v>517</v>
      </c>
      <c r="C17" s="72">
        <v>43</v>
      </c>
      <c r="D17" s="72">
        <v>43</v>
      </c>
      <c r="E17" s="72">
        <v>43</v>
      </c>
      <c r="F17" s="72">
        <v>43</v>
      </c>
      <c r="G17" s="40">
        <f t="shared" si="0"/>
        <v>43</v>
      </c>
      <c r="H17" s="72">
        <v>44</v>
      </c>
      <c r="I17" s="72">
        <v>45</v>
      </c>
      <c r="J17" s="72">
        <v>44</v>
      </c>
      <c r="K17" s="72">
        <v>42</v>
      </c>
      <c r="L17" s="40">
        <f t="shared" si="1"/>
        <v>43.75</v>
      </c>
      <c r="M17" s="72">
        <v>43</v>
      </c>
      <c r="N17" s="72">
        <v>44</v>
      </c>
      <c r="O17" s="72">
        <v>46</v>
      </c>
      <c r="P17" s="72">
        <v>46</v>
      </c>
      <c r="Q17" s="40">
        <f t="shared" si="2"/>
        <v>44.75</v>
      </c>
      <c r="R17" s="16">
        <f t="shared" si="3"/>
        <v>44.125</v>
      </c>
      <c r="T17" s="6">
        <f t="shared" si="4"/>
        <v>2.3404321432254308E-4</v>
      </c>
      <c r="V17" s="23">
        <f>+claims!D17</f>
        <v>0</v>
      </c>
      <c r="W17" s="23">
        <f>+claims!E17</f>
        <v>0</v>
      </c>
      <c r="X17" s="23">
        <f>+claims!F17</f>
        <v>0</v>
      </c>
      <c r="Z17" s="6">
        <f t="shared" si="5"/>
        <v>0</v>
      </c>
      <c r="AA17" s="6">
        <f t="shared" si="6"/>
        <v>0</v>
      </c>
      <c r="AB17" s="6">
        <f t="shared" si="8"/>
        <v>0</v>
      </c>
      <c r="AD17" s="6">
        <f t="shared" si="7"/>
        <v>0</v>
      </c>
    </row>
    <row r="18" spans="1:30">
      <c r="A18" t="s">
        <v>28</v>
      </c>
      <c r="B18" t="s">
        <v>518</v>
      </c>
      <c r="C18" s="72">
        <v>38</v>
      </c>
      <c r="D18" s="72">
        <v>38.799999999999997</v>
      </c>
      <c r="E18" s="72">
        <v>38</v>
      </c>
      <c r="F18" s="72">
        <v>37</v>
      </c>
      <c r="G18" s="40">
        <f t="shared" si="0"/>
        <v>37.950000000000003</v>
      </c>
      <c r="H18" s="72">
        <v>37</v>
      </c>
      <c r="I18" s="72">
        <v>36</v>
      </c>
      <c r="J18" s="72">
        <v>37</v>
      </c>
      <c r="K18" s="72">
        <v>35</v>
      </c>
      <c r="L18" s="40">
        <f t="shared" si="1"/>
        <v>36.25</v>
      </c>
      <c r="M18" s="72">
        <v>37.4</v>
      </c>
      <c r="N18" s="72">
        <v>38.200000000000003</v>
      </c>
      <c r="O18" s="72">
        <v>36.799999999999997</v>
      </c>
      <c r="P18" s="72">
        <v>37.700000000000003</v>
      </c>
      <c r="Q18" s="40">
        <f t="shared" si="2"/>
        <v>37.524999999999999</v>
      </c>
      <c r="R18" s="16">
        <f t="shared" si="3"/>
        <v>37.170833333333327</v>
      </c>
      <c r="T18" s="6">
        <f t="shared" si="4"/>
        <v>1.97157650138943E-4</v>
      </c>
      <c r="V18" s="23">
        <f>+claims!D18</f>
        <v>0</v>
      </c>
      <c r="W18" s="23">
        <f>+claims!E18</f>
        <v>1</v>
      </c>
      <c r="X18" s="23">
        <f>+claims!F18</f>
        <v>0</v>
      </c>
      <c r="Z18" s="6">
        <f t="shared" si="5"/>
        <v>0</v>
      </c>
      <c r="AA18" s="6">
        <f t="shared" si="6"/>
        <v>0.01</v>
      </c>
      <c r="AB18" s="6">
        <f t="shared" si="8"/>
        <v>0</v>
      </c>
      <c r="AD18" s="6">
        <f t="shared" si="7"/>
        <v>3.3333333333333335E-3</v>
      </c>
    </row>
    <row r="19" spans="1:30">
      <c r="A19" t="s">
        <v>29</v>
      </c>
      <c r="B19" t="s">
        <v>519</v>
      </c>
      <c r="C19" s="72">
        <v>32</v>
      </c>
      <c r="D19" s="72">
        <v>32</v>
      </c>
      <c r="E19" s="72">
        <v>32</v>
      </c>
      <c r="F19" s="72">
        <v>32</v>
      </c>
      <c r="G19" s="40">
        <f t="shared" si="0"/>
        <v>32</v>
      </c>
      <c r="H19" s="72">
        <v>32</v>
      </c>
      <c r="I19" s="72">
        <v>32</v>
      </c>
      <c r="J19" s="72">
        <v>32</v>
      </c>
      <c r="K19" s="72">
        <v>35</v>
      </c>
      <c r="L19" s="40">
        <f t="shared" si="1"/>
        <v>32.75</v>
      </c>
      <c r="M19" s="72">
        <v>35</v>
      </c>
      <c r="N19" s="72">
        <v>35</v>
      </c>
      <c r="O19" s="72">
        <v>35</v>
      </c>
      <c r="P19" s="72">
        <v>35</v>
      </c>
      <c r="Q19" s="40">
        <f t="shared" si="2"/>
        <v>35</v>
      </c>
      <c r="R19" s="16">
        <f t="shared" si="3"/>
        <v>33.75</v>
      </c>
      <c r="T19" s="6">
        <f t="shared" si="4"/>
        <v>1.7901322341950886E-4</v>
      </c>
      <c r="V19" s="23">
        <f>+claims!D19</f>
        <v>1</v>
      </c>
      <c r="W19" s="23">
        <f>+claims!E19</f>
        <v>0</v>
      </c>
      <c r="X19" s="23">
        <f>+claims!F19</f>
        <v>0</v>
      </c>
      <c r="Z19" s="6">
        <f t="shared" si="5"/>
        <v>0.01</v>
      </c>
      <c r="AA19" s="6">
        <f t="shared" si="6"/>
        <v>0</v>
      </c>
      <c r="AB19" s="6">
        <f t="shared" si="8"/>
        <v>0</v>
      </c>
      <c r="AD19" s="6">
        <f t="shared" si="7"/>
        <v>1.6666666666666668E-3</v>
      </c>
    </row>
    <row r="20" spans="1:30">
      <c r="A20" t="s">
        <v>30</v>
      </c>
      <c r="B20" t="s">
        <v>520</v>
      </c>
      <c r="C20" s="72">
        <v>34</v>
      </c>
      <c r="D20" s="72">
        <v>35</v>
      </c>
      <c r="E20" s="72">
        <v>35</v>
      </c>
      <c r="F20" s="72">
        <v>34</v>
      </c>
      <c r="G20" s="40">
        <f t="shared" si="0"/>
        <v>34.5</v>
      </c>
      <c r="H20" s="72">
        <v>34</v>
      </c>
      <c r="I20" s="72">
        <v>35</v>
      </c>
      <c r="J20" s="72">
        <v>35</v>
      </c>
      <c r="K20" s="72">
        <v>34</v>
      </c>
      <c r="L20" s="40">
        <f t="shared" si="1"/>
        <v>34.5</v>
      </c>
      <c r="M20" s="72">
        <v>33.700000000000003</v>
      </c>
      <c r="N20" s="72">
        <v>33</v>
      </c>
      <c r="O20" s="72">
        <v>33.4</v>
      </c>
      <c r="P20" s="72">
        <v>34</v>
      </c>
      <c r="Q20" s="40">
        <f t="shared" si="2"/>
        <v>33.524999999999999</v>
      </c>
      <c r="R20" s="16">
        <f t="shared" si="3"/>
        <v>34.012499999999996</v>
      </c>
      <c r="T20" s="6">
        <f t="shared" si="4"/>
        <v>1.8040554849054947E-4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521</v>
      </c>
      <c r="C21" s="72">
        <v>58</v>
      </c>
      <c r="D21" s="72">
        <v>60</v>
      </c>
      <c r="E21" s="72">
        <v>57</v>
      </c>
      <c r="F21" s="72">
        <v>60</v>
      </c>
      <c r="G21" s="40">
        <f t="shared" si="0"/>
        <v>58.75</v>
      </c>
      <c r="H21" s="72">
        <v>58</v>
      </c>
      <c r="I21" s="72">
        <v>57</v>
      </c>
      <c r="J21" s="72">
        <v>59</v>
      </c>
      <c r="K21" s="72">
        <v>60.5</v>
      </c>
      <c r="L21" s="40">
        <f t="shared" si="1"/>
        <v>58.625</v>
      </c>
      <c r="M21" s="72">
        <v>63.5</v>
      </c>
      <c r="N21" s="72">
        <v>63</v>
      </c>
      <c r="O21" s="72">
        <v>61</v>
      </c>
      <c r="P21" s="72">
        <v>61.5</v>
      </c>
      <c r="Q21" s="40">
        <f t="shared" si="2"/>
        <v>62.25</v>
      </c>
      <c r="R21" s="16">
        <f t="shared" si="3"/>
        <v>60.458333333333336</v>
      </c>
      <c r="T21" s="6">
        <f t="shared" si="4"/>
        <v>3.2067677429840419E-4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522</v>
      </c>
      <c r="C22" s="72">
        <v>15.5</v>
      </c>
      <c r="D22" s="72">
        <v>15.5</v>
      </c>
      <c r="E22" s="72">
        <v>15.5</v>
      </c>
      <c r="F22" s="72">
        <v>14.7</v>
      </c>
      <c r="G22" s="40">
        <f t="shared" si="0"/>
        <v>15.3</v>
      </c>
      <c r="H22" s="72">
        <v>15.5</v>
      </c>
      <c r="I22" s="72">
        <v>16</v>
      </c>
      <c r="J22" s="72">
        <v>15</v>
      </c>
      <c r="K22" s="72">
        <v>15</v>
      </c>
      <c r="L22" s="40">
        <f t="shared" si="1"/>
        <v>15.375</v>
      </c>
      <c r="M22" s="72">
        <v>15</v>
      </c>
      <c r="N22" s="72">
        <v>15</v>
      </c>
      <c r="O22" s="72">
        <v>15</v>
      </c>
      <c r="P22" s="72">
        <v>15</v>
      </c>
      <c r="Q22" s="40">
        <f t="shared" si="2"/>
        <v>15</v>
      </c>
      <c r="R22" s="16">
        <f t="shared" si="3"/>
        <v>15.174999999999999</v>
      </c>
      <c r="T22" s="6">
        <f t="shared" si="4"/>
        <v>8.048964934491991E-5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523</v>
      </c>
      <c r="C23" s="72">
        <v>19.600000000000001</v>
      </c>
      <c r="D23" s="72">
        <v>19.8</v>
      </c>
      <c r="E23" s="72">
        <v>20</v>
      </c>
      <c r="F23" s="72">
        <v>19.899999999999999</v>
      </c>
      <c r="G23" s="40">
        <f t="shared" si="0"/>
        <v>19.825000000000003</v>
      </c>
      <c r="H23" s="72">
        <v>18.899999999999999</v>
      </c>
      <c r="I23" s="72">
        <v>19</v>
      </c>
      <c r="J23" s="72">
        <v>19.3</v>
      </c>
      <c r="K23" s="72">
        <v>20</v>
      </c>
      <c r="L23" s="40">
        <f t="shared" si="1"/>
        <v>19.3</v>
      </c>
      <c r="M23" s="72">
        <v>18.5</v>
      </c>
      <c r="N23" s="72">
        <v>18.600000000000001</v>
      </c>
      <c r="O23" s="72">
        <v>18.899999999999999</v>
      </c>
      <c r="P23" s="72">
        <v>19</v>
      </c>
      <c r="Q23" s="40">
        <f t="shared" si="2"/>
        <v>18.75</v>
      </c>
      <c r="R23" s="16">
        <f t="shared" si="3"/>
        <v>19.112500000000001</v>
      </c>
      <c r="T23" s="6">
        <f t="shared" si="4"/>
        <v>1.0137452541052929E-4</v>
      </c>
      <c r="V23" s="23">
        <f>+claims!D23</f>
        <v>1</v>
      </c>
      <c r="W23" s="23">
        <f>+claims!E23</f>
        <v>0</v>
      </c>
      <c r="X23" s="23">
        <f>+claims!F23</f>
        <v>0</v>
      </c>
      <c r="Z23" s="6">
        <f t="shared" si="5"/>
        <v>0.01</v>
      </c>
      <c r="AA23" s="6">
        <f t="shared" si="6"/>
        <v>0</v>
      </c>
      <c r="AB23" s="6">
        <f t="shared" si="8"/>
        <v>0</v>
      </c>
      <c r="AD23" s="6">
        <f t="shared" si="7"/>
        <v>1.6666666666666668E-3</v>
      </c>
    </row>
    <row r="24" spans="1:30">
      <c r="A24" t="s">
        <v>34</v>
      </c>
      <c r="B24" t="s">
        <v>524</v>
      </c>
      <c r="C24" s="72">
        <v>16.7</v>
      </c>
      <c r="D24" s="72">
        <v>16.600000000000001</v>
      </c>
      <c r="E24" s="72">
        <v>16.600000000000001</v>
      </c>
      <c r="F24" s="72">
        <v>16.3</v>
      </c>
      <c r="G24" s="40">
        <f t="shared" si="0"/>
        <v>16.55</v>
      </c>
      <c r="H24" s="72">
        <v>15.8</v>
      </c>
      <c r="I24" s="72">
        <v>16.600000000000001</v>
      </c>
      <c r="J24" s="72">
        <v>16.2</v>
      </c>
      <c r="K24" s="72">
        <v>16.600000000000001</v>
      </c>
      <c r="L24" s="40">
        <f t="shared" si="1"/>
        <v>16.300000000000004</v>
      </c>
      <c r="M24" s="72">
        <v>17.600000000000001</v>
      </c>
      <c r="N24" s="72">
        <v>17.600000000000001</v>
      </c>
      <c r="O24" s="72">
        <v>17.600000000000001</v>
      </c>
      <c r="P24" s="72">
        <v>17.100000000000001</v>
      </c>
      <c r="Q24" s="40">
        <f t="shared" si="2"/>
        <v>17.475000000000001</v>
      </c>
      <c r="R24" s="16">
        <f t="shared" si="3"/>
        <v>16.929166666666671</v>
      </c>
      <c r="T24" s="6">
        <f t="shared" si="4"/>
        <v>8.9793916883143789E-5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525</v>
      </c>
      <c r="C25" s="72">
        <v>19.8</v>
      </c>
      <c r="D25" s="72">
        <v>20</v>
      </c>
      <c r="E25" s="72">
        <v>20</v>
      </c>
      <c r="F25" s="72">
        <v>20</v>
      </c>
      <c r="G25" s="40">
        <f t="shared" si="0"/>
        <v>19.95</v>
      </c>
      <c r="H25" s="72">
        <v>19.3</v>
      </c>
      <c r="I25" s="72">
        <v>20</v>
      </c>
      <c r="J25" s="72">
        <v>19.3</v>
      </c>
      <c r="K25" s="72">
        <v>19.7</v>
      </c>
      <c r="L25" s="40">
        <f t="shared" si="1"/>
        <v>19.574999999999999</v>
      </c>
      <c r="M25" s="72">
        <v>20.100000000000001</v>
      </c>
      <c r="N25" s="72">
        <v>20.5</v>
      </c>
      <c r="O25" s="72">
        <v>20.5</v>
      </c>
      <c r="P25" s="72">
        <v>20.5</v>
      </c>
      <c r="Q25" s="40">
        <f t="shared" si="2"/>
        <v>20.399999999999999</v>
      </c>
      <c r="R25" s="16">
        <f t="shared" si="3"/>
        <v>20.049999999999997</v>
      </c>
      <c r="T25" s="6">
        <f t="shared" si="4"/>
        <v>1.0634711494996006E-4</v>
      </c>
      <c r="V25" s="23">
        <f>+claims!D25</f>
        <v>0</v>
      </c>
      <c r="W25" s="23">
        <f>+claims!E25</f>
        <v>0</v>
      </c>
      <c r="X25" s="23">
        <f>+claims!F25</f>
        <v>0</v>
      </c>
      <c r="Z25" s="6">
        <f t="shared" si="5"/>
        <v>0</v>
      </c>
      <c r="AA25" s="6">
        <f t="shared" si="6"/>
        <v>0</v>
      </c>
      <c r="AB25" s="6">
        <f t="shared" si="8"/>
        <v>0</v>
      </c>
      <c r="AD25" s="6">
        <f t="shared" si="7"/>
        <v>0</v>
      </c>
    </row>
    <row r="26" spans="1:30">
      <c r="A26" t="s">
        <v>36</v>
      </c>
      <c r="B26" t="s">
        <v>526</v>
      </c>
      <c r="C26" s="72">
        <v>15.7</v>
      </c>
      <c r="D26" s="72">
        <v>15.7</v>
      </c>
      <c r="E26" s="72">
        <v>15.7</v>
      </c>
      <c r="F26" s="72">
        <v>15.7</v>
      </c>
      <c r="G26" s="40">
        <f t="shared" si="0"/>
        <v>15.7</v>
      </c>
      <c r="H26" s="72">
        <v>15.7</v>
      </c>
      <c r="I26" s="72">
        <v>15.7</v>
      </c>
      <c r="J26" s="72">
        <v>15.7</v>
      </c>
      <c r="K26" s="72">
        <v>15.7</v>
      </c>
      <c r="L26" s="40">
        <f t="shared" si="1"/>
        <v>15.7</v>
      </c>
      <c r="M26" s="72">
        <v>15.7</v>
      </c>
      <c r="N26" s="72">
        <v>15.7</v>
      </c>
      <c r="O26" s="72">
        <v>15.7</v>
      </c>
      <c r="P26" s="72">
        <v>15.7</v>
      </c>
      <c r="Q26" s="40">
        <f t="shared" si="2"/>
        <v>15.7</v>
      </c>
      <c r="R26" s="16">
        <f t="shared" si="3"/>
        <v>15.699999999999998</v>
      </c>
      <c r="T26" s="6">
        <f t="shared" si="4"/>
        <v>8.3274299487001146E-5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527</v>
      </c>
      <c r="C27" s="72">
        <v>19</v>
      </c>
      <c r="D27" s="72">
        <v>17</v>
      </c>
      <c r="E27" s="72">
        <v>18</v>
      </c>
      <c r="F27" s="72">
        <v>20</v>
      </c>
      <c r="G27" s="40">
        <f t="shared" si="0"/>
        <v>18.5</v>
      </c>
      <c r="H27" s="72">
        <v>19</v>
      </c>
      <c r="I27" s="72">
        <v>18</v>
      </c>
      <c r="J27" s="72">
        <v>18</v>
      </c>
      <c r="K27" s="72">
        <v>21</v>
      </c>
      <c r="L27" s="40">
        <f t="shared" si="1"/>
        <v>19</v>
      </c>
      <c r="M27" s="72">
        <v>20</v>
      </c>
      <c r="N27" s="72">
        <v>19</v>
      </c>
      <c r="O27" s="72">
        <v>19</v>
      </c>
      <c r="P27" s="72">
        <v>21</v>
      </c>
      <c r="Q27" s="40">
        <f t="shared" si="2"/>
        <v>19.75</v>
      </c>
      <c r="R27" s="16">
        <f t="shared" si="3"/>
        <v>19.291666666666668</v>
      </c>
      <c r="T27" s="6">
        <f t="shared" si="4"/>
        <v>1.0232484252250939E-4</v>
      </c>
      <c r="V27" s="23">
        <f>+claims!D27</f>
        <v>1</v>
      </c>
      <c r="W27" s="23">
        <f>+claims!E27</f>
        <v>0</v>
      </c>
      <c r="X27" s="23">
        <f>+claims!F27</f>
        <v>0</v>
      </c>
      <c r="Z27" s="6">
        <f t="shared" si="5"/>
        <v>0.01</v>
      </c>
      <c r="AA27" s="6">
        <f t="shared" si="6"/>
        <v>0</v>
      </c>
      <c r="AB27" s="6">
        <f t="shared" si="8"/>
        <v>0</v>
      </c>
      <c r="AD27" s="6">
        <f t="shared" si="7"/>
        <v>1.6666666666666668E-3</v>
      </c>
    </row>
    <row r="28" spans="1:30">
      <c r="A28" t="s">
        <v>38</v>
      </c>
      <c r="B28" t="s">
        <v>528</v>
      </c>
      <c r="C28" s="72">
        <v>15</v>
      </c>
      <c r="D28" s="72">
        <v>15</v>
      </c>
      <c r="E28" s="72">
        <v>15</v>
      </c>
      <c r="F28" s="72">
        <v>15</v>
      </c>
      <c r="G28" s="40">
        <f t="shared" si="0"/>
        <v>15</v>
      </c>
      <c r="H28" s="72">
        <v>15</v>
      </c>
      <c r="I28" s="72">
        <v>16</v>
      </c>
      <c r="J28" s="72">
        <v>15</v>
      </c>
      <c r="K28" s="72">
        <v>15</v>
      </c>
      <c r="L28" s="40">
        <f t="shared" si="1"/>
        <v>15.25</v>
      </c>
      <c r="M28" s="72">
        <v>15</v>
      </c>
      <c r="N28" s="72">
        <v>14</v>
      </c>
      <c r="O28" s="72">
        <v>16</v>
      </c>
      <c r="P28" s="72">
        <v>15.5</v>
      </c>
      <c r="Q28" s="40">
        <f t="shared" si="2"/>
        <v>15.125</v>
      </c>
      <c r="R28" s="16">
        <f t="shared" si="3"/>
        <v>15.145833333333334</v>
      </c>
      <c r="T28" s="6">
        <f t="shared" si="4"/>
        <v>8.0334946559248741E-5</v>
      </c>
      <c r="V28" s="23">
        <f>+claims!D28</f>
        <v>0</v>
      </c>
      <c r="W28" s="23">
        <f>+claims!E28</f>
        <v>0</v>
      </c>
      <c r="X28" s="23">
        <f>+claims!F28</f>
        <v>0</v>
      </c>
      <c r="Z28" s="6">
        <f t="shared" si="5"/>
        <v>0</v>
      </c>
      <c r="AA28" s="6">
        <f t="shared" si="6"/>
        <v>0</v>
      </c>
      <c r="AB28" s="6">
        <f t="shared" si="8"/>
        <v>0</v>
      </c>
      <c r="AD28" s="6">
        <f t="shared" si="7"/>
        <v>0</v>
      </c>
    </row>
    <row r="29" spans="1:30">
      <c r="A29" t="s">
        <v>39</v>
      </c>
      <c r="B29" t="s">
        <v>529</v>
      </c>
      <c r="C29" s="72">
        <v>32</v>
      </c>
      <c r="D29" s="72">
        <v>32</v>
      </c>
      <c r="E29" s="72">
        <v>32</v>
      </c>
      <c r="F29" s="72">
        <v>32</v>
      </c>
      <c r="G29" s="40">
        <f t="shared" si="0"/>
        <v>32</v>
      </c>
      <c r="H29" s="72">
        <v>32</v>
      </c>
      <c r="I29" s="72">
        <v>32</v>
      </c>
      <c r="J29" s="72">
        <v>32</v>
      </c>
      <c r="K29" s="72">
        <v>32</v>
      </c>
      <c r="L29" s="40">
        <f t="shared" si="1"/>
        <v>32</v>
      </c>
      <c r="M29" s="72">
        <v>32</v>
      </c>
      <c r="N29" s="72">
        <v>32</v>
      </c>
      <c r="O29" s="72">
        <v>32</v>
      </c>
      <c r="P29" s="72">
        <v>32</v>
      </c>
      <c r="Q29" s="40">
        <f t="shared" si="2"/>
        <v>32</v>
      </c>
      <c r="R29" s="16">
        <f t="shared" si="3"/>
        <v>32</v>
      </c>
      <c r="T29" s="6">
        <f t="shared" si="4"/>
        <v>1.6973105627923803E-4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530</v>
      </c>
      <c r="C30" s="72">
        <v>41</v>
      </c>
      <c r="D30" s="72">
        <v>43</v>
      </c>
      <c r="E30" s="72">
        <v>42</v>
      </c>
      <c r="F30" s="72">
        <v>42</v>
      </c>
      <c r="G30" s="40">
        <f t="shared" si="0"/>
        <v>42</v>
      </c>
      <c r="H30" s="72">
        <v>43</v>
      </c>
      <c r="I30" s="72">
        <v>43</v>
      </c>
      <c r="J30" s="72">
        <v>43</v>
      </c>
      <c r="K30" s="72">
        <v>42</v>
      </c>
      <c r="L30" s="40">
        <f t="shared" si="1"/>
        <v>42.75</v>
      </c>
      <c r="M30" s="72">
        <v>41</v>
      </c>
      <c r="N30" s="72">
        <v>44</v>
      </c>
      <c r="O30" s="72">
        <v>47</v>
      </c>
      <c r="P30" s="72">
        <v>44</v>
      </c>
      <c r="Q30" s="40">
        <f t="shared" si="2"/>
        <v>44</v>
      </c>
      <c r="R30" s="16">
        <f t="shared" si="3"/>
        <v>43.25</v>
      </c>
      <c r="T30" s="6">
        <f t="shared" si="4"/>
        <v>2.2940213075240765E-4</v>
      </c>
      <c r="V30" s="23">
        <f>+claims!D30</f>
        <v>0</v>
      </c>
      <c r="W30" s="23">
        <f>+claims!E30</f>
        <v>2</v>
      </c>
      <c r="X30" s="23">
        <f>+claims!F30</f>
        <v>0</v>
      </c>
      <c r="Z30" s="6">
        <f t="shared" si="5"/>
        <v>0</v>
      </c>
      <c r="AA30" s="6">
        <f t="shared" si="6"/>
        <v>0.02</v>
      </c>
      <c r="AB30" s="6">
        <f t="shared" si="8"/>
        <v>0</v>
      </c>
      <c r="AD30" s="6">
        <f t="shared" si="7"/>
        <v>6.6666666666666671E-3</v>
      </c>
    </row>
    <row r="31" spans="1:30">
      <c r="A31" t="s">
        <v>41</v>
      </c>
      <c r="B31" t="s">
        <v>531</v>
      </c>
      <c r="C31" s="72">
        <v>613.6</v>
      </c>
      <c r="D31" s="72">
        <v>614.1</v>
      </c>
      <c r="E31" s="72">
        <v>612.20000000000005</v>
      </c>
      <c r="F31" s="72">
        <v>614</v>
      </c>
      <c r="G31" s="40">
        <f t="shared" si="0"/>
        <v>613.47500000000002</v>
      </c>
      <c r="H31" s="72">
        <v>613.1</v>
      </c>
      <c r="I31" s="72">
        <v>615.70000000000005</v>
      </c>
      <c r="J31" s="72">
        <v>615.79999999999995</v>
      </c>
      <c r="K31" s="72">
        <v>614</v>
      </c>
      <c r="L31" s="40">
        <f t="shared" si="1"/>
        <v>614.65000000000009</v>
      </c>
      <c r="M31" s="72">
        <v>622.4</v>
      </c>
      <c r="N31" s="72">
        <v>623.9</v>
      </c>
      <c r="O31" s="72">
        <v>622.70000000000005</v>
      </c>
      <c r="P31" s="72">
        <v>639.6</v>
      </c>
      <c r="Q31" s="40">
        <f t="shared" si="2"/>
        <v>627.15</v>
      </c>
      <c r="R31" s="16">
        <f t="shared" si="3"/>
        <v>620.70416666666665</v>
      </c>
      <c r="T31" s="6">
        <f t="shared" si="4"/>
        <v>3.2922741826642982E-3</v>
      </c>
      <c r="V31" s="23">
        <f>+claims!D31</f>
        <v>0</v>
      </c>
      <c r="W31" s="23">
        <f>+claims!E31</f>
        <v>0</v>
      </c>
      <c r="X31" s="23">
        <f>+claims!F31</f>
        <v>2</v>
      </c>
      <c r="Z31" s="6">
        <f t="shared" si="5"/>
        <v>0</v>
      </c>
      <c r="AA31" s="6">
        <f t="shared" si="6"/>
        <v>0</v>
      </c>
      <c r="AB31" s="6">
        <f t="shared" si="8"/>
        <v>3.1890297377023041E-3</v>
      </c>
      <c r="AD31" s="6">
        <f t="shared" si="7"/>
        <v>1.5945148688511518E-3</v>
      </c>
    </row>
    <row r="32" spans="1:30">
      <c r="A32" t="s">
        <v>42</v>
      </c>
      <c r="B32" t="s">
        <v>43</v>
      </c>
      <c r="C32" s="72">
        <v>13</v>
      </c>
      <c r="D32" s="72">
        <v>13</v>
      </c>
      <c r="E32" s="72">
        <v>12</v>
      </c>
      <c r="F32" s="72">
        <v>13</v>
      </c>
      <c r="G32" s="40">
        <f t="shared" si="0"/>
        <v>12.75</v>
      </c>
      <c r="H32" s="72">
        <v>13</v>
      </c>
      <c r="I32" s="72">
        <v>13</v>
      </c>
      <c r="J32" s="72">
        <v>12</v>
      </c>
      <c r="K32" s="72">
        <v>13</v>
      </c>
      <c r="L32" s="40">
        <f t="shared" si="1"/>
        <v>12.75</v>
      </c>
      <c r="M32" s="72">
        <v>13</v>
      </c>
      <c r="N32" s="72">
        <v>13</v>
      </c>
      <c r="O32" s="72">
        <v>13.3</v>
      </c>
      <c r="P32" s="72">
        <v>14.3</v>
      </c>
      <c r="Q32" s="40">
        <f t="shared" si="2"/>
        <v>13.399999999999999</v>
      </c>
      <c r="R32" s="16">
        <f t="shared" si="3"/>
        <v>13.074999999999998</v>
      </c>
      <c r="T32" s="6">
        <f t="shared" si="4"/>
        <v>6.9351048776594899E-5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72">
        <v>9</v>
      </c>
      <c r="D33" s="72">
        <v>10</v>
      </c>
      <c r="E33" s="72">
        <v>10</v>
      </c>
      <c r="F33" s="72">
        <v>10</v>
      </c>
      <c r="G33" s="40">
        <f t="shared" si="0"/>
        <v>9.75</v>
      </c>
      <c r="H33" s="72">
        <v>9</v>
      </c>
      <c r="I33" s="72">
        <v>9</v>
      </c>
      <c r="J33" s="72">
        <v>10</v>
      </c>
      <c r="K33" s="72">
        <v>11</v>
      </c>
      <c r="L33" s="40">
        <f t="shared" si="1"/>
        <v>9.75</v>
      </c>
      <c r="M33" s="72">
        <v>10</v>
      </c>
      <c r="N33" s="72">
        <v>10</v>
      </c>
      <c r="O33" s="72">
        <v>10</v>
      </c>
      <c r="P33" s="72">
        <v>11</v>
      </c>
      <c r="Q33" s="40">
        <f t="shared" si="2"/>
        <v>10.25</v>
      </c>
      <c r="R33" s="16">
        <f t="shared" si="3"/>
        <v>10</v>
      </c>
      <c r="T33" s="6">
        <f t="shared" si="4"/>
        <v>5.3040955087261889E-5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73">
        <v>250.5</v>
      </c>
      <c r="D34" s="73">
        <v>246.4</v>
      </c>
      <c r="E34" s="73">
        <v>242.9</v>
      </c>
      <c r="F34" s="73">
        <v>239.8</v>
      </c>
      <c r="G34" s="40">
        <f t="shared" si="0"/>
        <v>244.89999999999998</v>
      </c>
      <c r="H34" s="73">
        <v>234.39999999999998</v>
      </c>
      <c r="I34" s="73">
        <v>241.4</v>
      </c>
      <c r="J34" s="73">
        <v>248.70000000000002</v>
      </c>
      <c r="K34" s="73">
        <v>243</v>
      </c>
      <c r="L34" s="40">
        <f t="shared" si="1"/>
        <v>241.875</v>
      </c>
      <c r="M34" s="73">
        <v>245.6</v>
      </c>
      <c r="N34" s="73">
        <v>257.60000000000002</v>
      </c>
      <c r="O34" s="73">
        <v>255.1</v>
      </c>
      <c r="P34" s="73">
        <v>254.79999999999998</v>
      </c>
      <c r="Q34" s="40">
        <f t="shared" si="2"/>
        <v>253.27500000000001</v>
      </c>
      <c r="R34" s="16">
        <f t="shared" si="3"/>
        <v>248.07916666666665</v>
      </c>
      <c r="T34" s="6">
        <f t="shared" si="4"/>
        <v>1.3158355937252023E-3</v>
      </c>
      <c r="V34" s="23">
        <f>+claims!D34</f>
        <v>1</v>
      </c>
      <c r="W34" s="23">
        <f>+claims!E34</f>
        <v>0</v>
      </c>
      <c r="X34" s="23">
        <f>+claims!F34</f>
        <v>3</v>
      </c>
      <c r="Z34" s="6">
        <f t="shared" si="5"/>
        <v>4.0832993058391182E-3</v>
      </c>
      <c r="AA34" s="6">
        <f t="shared" si="6"/>
        <v>0</v>
      </c>
      <c r="AB34" s="6">
        <f t="shared" si="8"/>
        <v>1.1844832691738229E-2</v>
      </c>
      <c r="AD34" s="6">
        <f t="shared" si="7"/>
        <v>6.6029662301756338E-3</v>
      </c>
    </row>
    <row r="35" spans="1:30">
      <c r="A35" t="s">
        <v>48</v>
      </c>
      <c r="B35" t="s">
        <v>49</v>
      </c>
      <c r="C35" s="74">
        <v>4037.8</v>
      </c>
      <c r="D35" s="77">
        <v>4045.1</v>
      </c>
      <c r="E35" s="77">
        <v>4038.3</v>
      </c>
      <c r="F35" s="77">
        <v>4016</v>
      </c>
      <c r="G35" s="40">
        <f t="shared" si="0"/>
        <v>4034.3</v>
      </c>
      <c r="H35" s="74">
        <v>4088</v>
      </c>
      <c r="I35" s="77">
        <v>4083.2</v>
      </c>
      <c r="J35" s="77">
        <v>4099</v>
      </c>
      <c r="K35" s="77">
        <v>4090.3</v>
      </c>
      <c r="L35" s="40">
        <f t="shared" si="1"/>
        <v>4090.125</v>
      </c>
      <c r="M35" s="74">
        <v>4068.1</v>
      </c>
      <c r="N35" s="77">
        <v>4112.7</v>
      </c>
      <c r="O35" s="77">
        <v>4223.1000000000004</v>
      </c>
      <c r="P35" s="77">
        <v>4234</v>
      </c>
      <c r="Q35" s="40">
        <f t="shared" si="2"/>
        <v>4159.4750000000004</v>
      </c>
      <c r="R35" s="16">
        <f t="shared" si="3"/>
        <v>4115.4958333333334</v>
      </c>
      <c r="T35" s="6">
        <f t="shared" si="4"/>
        <v>2.1828982965764677E-2</v>
      </c>
      <c r="V35" s="23">
        <f>+claims!D35</f>
        <v>20</v>
      </c>
      <c r="W35" s="23">
        <f>+claims!E35</f>
        <v>15</v>
      </c>
      <c r="X35" s="23">
        <f>+claims!F35</f>
        <v>21</v>
      </c>
      <c r="Z35" s="6">
        <f t="shared" si="5"/>
        <v>4.9574895273033735E-3</v>
      </c>
      <c r="AA35" s="6">
        <f t="shared" si="6"/>
        <v>3.6673695791693407E-3</v>
      </c>
      <c r="AB35" s="6">
        <f t="shared" si="8"/>
        <v>5.0487140805029473E-3</v>
      </c>
      <c r="AD35" s="6">
        <f t="shared" si="7"/>
        <v>4.5730618211918166E-3</v>
      </c>
    </row>
    <row r="36" spans="1:30">
      <c r="A36" t="s">
        <v>50</v>
      </c>
      <c r="B36" t="s">
        <v>497</v>
      </c>
      <c r="C36" s="74">
        <v>278</v>
      </c>
      <c r="D36" s="77">
        <v>281</v>
      </c>
      <c r="E36" s="77">
        <v>281</v>
      </c>
      <c r="F36" s="77">
        <v>282</v>
      </c>
      <c r="G36" s="40">
        <f t="shared" si="0"/>
        <v>280.5</v>
      </c>
      <c r="H36" s="74">
        <v>283</v>
      </c>
      <c r="I36" s="77">
        <v>283</v>
      </c>
      <c r="J36" s="77">
        <v>285</v>
      </c>
      <c r="K36" s="77">
        <v>284</v>
      </c>
      <c r="L36" s="40">
        <f t="shared" si="1"/>
        <v>283.75</v>
      </c>
      <c r="M36" s="74">
        <v>328</v>
      </c>
      <c r="N36" s="77">
        <v>329</v>
      </c>
      <c r="O36" s="77">
        <v>332</v>
      </c>
      <c r="P36" s="77">
        <v>329</v>
      </c>
      <c r="Q36" s="40">
        <f t="shared" si="2"/>
        <v>329.5</v>
      </c>
      <c r="R36" s="16">
        <f t="shared" si="3"/>
        <v>306.08333333333331</v>
      </c>
      <c r="T36" s="6">
        <f t="shared" si="4"/>
        <v>1.6234952336292741E-3</v>
      </c>
      <c r="V36" s="23">
        <f>+claims!D36</f>
        <v>7</v>
      </c>
      <c r="W36" s="23">
        <f>+claims!E36</f>
        <v>0</v>
      </c>
      <c r="X36" s="23">
        <f>+claims!F36</f>
        <v>10</v>
      </c>
      <c r="Z36" s="6">
        <f t="shared" si="5"/>
        <v>2.4955436720142603E-2</v>
      </c>
      <c r="AA36" s="6">
        <f t="shared" si="6"/>
        <v>0</v>
      </c>
      <c r="AB36" s="6">
        <f t="shared" si="8"/>
        <v>3.0349013657056147E-2</v>
      </c>
      <c r="AD36" s="6">
        <f t="shared" si="7"/>
        <v>1.9333746281885177E-2</v>
      </c>
    </row>
    <row r="37" spans="1:30" s="52" customFormat="1">
      <c r="A37" s="52" t="s">
        <v>51</v>
      </c>
      <c r="B37" s="52" t="s">
        <v>52</v>
      </c>
      <c r="C37" s="75">
        <f>2591.8-12.5</f>
        <v>2579.3000000000002</v>
      </c>
      <c r="D37" s="78">
        <f>2628.9-12.5</f>
        <v>2616.4</v>
      </c>
      <c r="E37" s="78">
        <f>2688.8-12.5</f>
        <v>2676.3</v>
      </c>
      <c r="F37" s="78">
        <f>2723-12.5</f>
        <v>2710.5</v>
      </c>
      <c r="G37" s="40">
        <f t="shared" si="0"/>
        <v>2645.625</v>
      </c>
      <c r="H37" s="75">
        <f>2725.7-13.4</f>
        <v>2712.2999999999997</v>
      </c>
      <c r="I37" s="78">
        <f>2746.2-13.4</f>
        <v>2732.7999999999997</v>
      </c>
      <c r="J37" s="78">
        <f>2736.1-13.4</f>
        <v>2722.7</v>
      </c>
      <c r="K37" s="78">
        <f>2735.8-13.4</f>
        <v>2722.4</v>
      </c>
      <c r="L37" s="40">
        <f t="shared" si="1"/>
        <v>2722.5499999999997</v>
      </c>
      <c r="M37" s="75">
        <f>2697.2-12.8</f>
        <v>2684.3999999999996</v>
      </c>
      <c r="N37" s="78">
        <f>2724.1-12.8</f>
        <v>2711.2999999999997</v>
      </c>
      <c r="O37" s="78">
        <f>2710.9-12.8</f>
        <v>2698.1</v>
      </c>
      <c r="P37" s="78">
        <f>2738.2-12.8</f>
        <v>2725.3999999999996</v>
      </c>
      <c r="Q37" s="40">
        <f t="shared" si="2"/>
        <v>2704.7999999999997</v>
      </c>
      <c r="R37" s="40">
        <f t="shared" ref="R37:R51" si="9">IF(G37&gt;0,(+G37+(L37*2)+(Q37*3))/6,IF(L37&gt;0,((L37*2)+(Q37*3))/5,Q37))</f>
        <v>2700.8541666666665</v>
      </c>
      <c r="T37" s="41">
        <f t="shared" ref="T37:T68" si="10">+R37/$R$264</f>
        <v>1.432558845514108E-2</v>
      </c>
      <c r="V37" s="42">
        <f>+claims!D37</f>
        <v>21</v>
      </c>
      <c r="W37" s="42">
        <f>+claims!E37</f>
        <v>15</v>
      </c>
      <c r="X37" s="42">
        <f>+claims!F37</f>
        <v>12</v>
      </c>
      <c r="Z37" s="41">
        <f t="shared" si="5"/>
        <v>7.9376328844790924E-3</v>
      </c>
      <c r="AA37" s="41">
        <f t="shared" si="6"/>
        <v>5.5095406879579808E-3</v>
      </c>
      <c r="AB37" s="41">
        <f t="shared" si="8"/>
        <v>4.4365572315882883E-3</v>
      </c>
      <c r="AD37" s="41">
        <f t="shared" si="7"/>
        <v>5.3777309925266527E-3</v>
      </c>
    </row>
    <row r="38" spans="1:30">
      <c r="A38" t="s">
        <v>53</v>
      </c>
      <c r="B38" t="s">
        <v>54</v>
      </c>
      <c r="C38" s="76">
        <v>609.9</v>
      </c>
      <c r="D38" s="76">
        <v>628.70000000000005</v>
      </c>
      <c r="E38" s="76">
        <v>627.29999999999995</v>
      </c>
      <c r="F38" s="76">
        <v>633.79999999999995</v>
      </c>
      <c r="G38" s="40">
        <f t="shared" si="0"/>
        <v>624.92499999999995</v>
      </c>
      <c r="H38" s="76">
        <v>624.9</v>
      </c>
      <c r="I38" s="76">
        <v>631</v>
      </c>
      <c r="J38" s="76">
        <v>612.9</v>
      </c>
      <c r="K38" s="76">
        <v>615.5</v>
      </c>
      <c r="L38" s="40">
        <f t="shared" si="1"/>
        <v>621.07500000000005</v>
      </c>
      <c r="M38" s="76">
        <v>589.5</v>
      </c>
      <c r="N38" s="76">
        <v>576</v>
      </c>
      <c r="O38" s="76">
        <v>583</v>
      </c>
      <c r="P38" s="76">
        <v>571.1</v>
      </c>
      <c r="Q38" s="40">
        <f t="shared" si="2"/>
        <v>579.9</v>
      </c>
      <c r="R38" s="16">
        <f t="shared" si="9"/>
        <v>601.12916666666661</v>
      </c>
      <c r="T38" s="6">
        <f t="shared" si="10"/>
        <v>3.1884465130809828E-3</v>
      </c>
      <c r="V38" s="23">
        <f>+claims!D38</f>
        <v>4</v>
      </c>
      <c r="W38" s="23">
        <f>+claims!E38</f>
        <v>6</v>
      </c>
      <c r="X38" s="23">
        <f>+claims!F38</f>
        <v>5</v>
      </c>
      <c r="Z38" s="6">
        <f t="shared" si="5"/>
        <v>6.400768092171061E-3</v>
      </c>
      <c r="AA38" s="6">
        <f t="shared" si="6"/>
        <v>9.6606690013283404E-3</v>
      </c>
      <c r="AB38" s="6">
        <f t="shared" si="8"/>
        <v>8.6221762372822898E-3</v>
      </c>
      <c r="AD38" s="6">
        <f t="shared" si="7"/>
        <v>8.5981058011124351E-3</v>
      </c>
    </row>
    <row r="39" spans="1:30">
      <c r="A39" t="s">
        <v>55</v>
      </c>
      <c r="B39" t="s">
        <v>56</v>
      </c>
      <c r="C39" s="76">
        <v>146.30000000000001</v>
      </c>
      <c r="D39" s="76">
        <v>146.6</v>
      </c>
      <c r="E39" s="76">
        <v>146.80000000000001</v>
      </c>
      <c r="F39" s="76">
        <v>146.19999999999999</v>
      </c>
      <c r="G39" s="40">
        <f t="shared" si="0"/>
        <v>146.47499999999999</v>
      </c>
      <c r="H39" s="76">
        <v>151</v>
      </c>
      <c r="I39" s="76">
        <v>152.69999999999999</v>
      </c>
      <c r="J39" s="76">
        <v>150.6</v>
      </c>
      <c r="K39" s="76">
        <v>153.6</v>
      </c>
      <c r="L39" s="40">
        <f t="shared" si="1"/>
        <v>151.97499999999999</v>
      </c>
      <c r="M39" s="76">
        <v>151.30000000000001</v>
      </c>
      <c r="N39" s="76">
        <v>150.6</v>
      </c>
      <c r="O39" s="76">
        <v>152</v>
      </c>
      <c r="P39" s="76">
        <v>155.5</v>
      </c>
      <c r="Q39" s="40">
        <f t="shared" si="2"/>
        <v>152.35</v>
      </c>
      <c r="R39" s="16">
        <f t="shared" si="9"/>
        <v>151.24583333333331</v>
      </c>
      <c r="T39" s="6">
        <f t="shared" si="10"/>
        <v>8.0222234529688289E-4</v>
      </c>
      <c r="V39" s="23">
        <f>+claims!D39</f>
        <v>1</v>
      </c>
      <c r="W39" s="23">
        <f>+claims!E39</f>
        <v>2</v>
      </c>
      <c r="X39" s="23">
        <f>+claims!F39</f>
        <v>1</v>
      </c>
      <c r="Z39" s="6">
        <f t="shared" si="5"/>
        <v>6.8271036012971503E-3</v>
      </c>
      <c r="AA39" s="6">
        <f t="shared" si="6"/>
        <v>1.3160059220266493E-2</v>
      </c>
      <c r="AB39" s="6">
        <f t="shared" si="8"/>
        <v>6.5638332786347228E-3</v>
      </c>
      <c r="AD39" s="6">
        <f t="shared" si="7"/>
        <v>8.8064536462890506E-3</v>
      </c>
    </row>
    <row r="40" spans="1:30">
      <c r="A40" t="s">
        <v>57</v>
      </c>
      <c r="B40" t="s">
        <v>58</v>
      </c>
      <c r="C40" s="76">
        <v>190.6</v>
      </c>
      <c r="D40" s="76">
        <v>196</v>
      </c>
      <c r="E40" s="76">
        <v>196</v>
      </c>
      <c r="F40" s="76">
        <v>192</v>
      </c>
      <c r="G40" s="40">
        <f t="shared" si="0"/>
        <v>193.65</v>
      </c>
      <c r="H40" s="76">
        <v>191</v>
      </c>
      <c r="I40" s="76">
        <v>196</v>
      </c>
      <c r="J40" s="76">
        <v>195</v>
      </c>
      <c r="K40" s="76">
        <v>197</v>
      </c>
      <c r="L40" s="40">
        <f t="shared" si="1"/>
        <v>194.75</v>
      </c>
      <c r="M40" s="76">
        <v>193</v>
      </c>
      <c r="N40" s="76">
        <v>189</v>
      </c>
      <c r="O40" s="76">
        <v>185</v>
      </c>
      <c r="P40" s="76">
        <v>187</v>
      </c>
      <c r="Q40" s="40">
        <f t="shared" si="2"/>
        <v>188.5</v>
      </c>
      <c r="R40" s="16">
        <f t="shared" si="9"/>
        <v>191.44166666666669</v>
      </c>
      <c r="T40" s="6">
        <f t="shared" si="10"/>
        <v>1.0154248843497228E-3</v>
      </c>
      <c r="V40" s="23">
        <f>+claims!D40</f>
        <v>2</v>
      </c>
      <c r="W40" s="23">
        <f>+claims!E40</f>
        <v>4</v>
      </c>
      <c r="X40" s="23">
        <f>+claims!F40</f>
        <v>2</v>
      </c>
      <c r="Z40" s="6">
        <f t="shared" si="5"/>
        <v>1.0327911179963851E-2</v>
      </c>
      <c r="AA40" s="6">
        <f t="shared" si="6"/>
        <v>2.0539152759948651E-2</v>
      </c>
      <c r="AB40" s="6">
        <f t="shared" si="8"/>
        <v>1.0610079575596816E-2</v>
      </c>
      <c r="AD40" s="6">
        <f t="shared" si="7"/>
        <v>1.38727425711086E-2</v>
      </c>
    </row>
    <row r="41" spans="1:30">
      <c r="A41" t="s">
        <v>59</v>
      </c>
      <c r="B41" t="s">
        <v>60</v>
      </c>
      <c r="C41" s="76">
        <v>187</v>
      </c>
      <c r="D41" s="76">
        <v>183</v>
      </c>
      <c r="E41" s="76">
        <v>180</v>
      </c>
      <c r="F41" s="76">
        <v>186</v>
      </c>
      <c r="G41" s="40">
        <f t="shared" si="0"/>
        <v>184</v>
      </c>
      <c r="H41" s="76">
        <v>186</v>
      </c>
      <c r="I41" s="76">
        <v>192</v>
      </c>
      <c r="J41" s="76">
        <v>195</v>
      </c>
      <c r="K41" s="76">
        <v>197</v>
      </c>
      <c r="L41" s="40">
        <f t="shared" si="1"/>
        <v>192.5</v>
      </c>
      <c r="M41" s="76">
        <v>189</v>
      </c>
      <c r="N41" s="76">
        <v>194</v>
      </c>
      <c r="O41" s="76">
        <v>190</v>
      </c>
      <c r="P41" s="76">
        <v>193</v>
      </c>
      <c r="Q41" s="40">
        <f t="shared" si="2"/>
        <v>191.5</v>
      </c>
      <c r="R41" s="16">
        <f t="shared" si="9"/>
        <v>190.58333333333334</v>
      </c>
      <c r="T41" s="6">
        <f t="shared" si="10"/>
        <v>1.0108722023713995E-3</v>
      </c>
      <c r="V41" s="23">
        <f>+claims!D41</f>
        <v>0</v>
      </c>
      <c r="W41" s="23">
        <f>+claims!E41</f>
        <v>0</v>
      </c>
      <c r="X41" s="23">
        <f>+claims!F41</f>
        <v>1</v>
      </c>
      <c r="Z41" s="6">
        <f t="shared" si="5"/>
        <v>0</v>
      </c>
      <c r="AA41" s="6">
        <f t="shared" si="6"/>
        <v>0</v>
      </c>
      <c r="AB41" s="6">
        <f t="shared" si="8"/>
        <v>5.2219321148825066E-3</v>
      </c>
      <c r="AD41" s="6">
        <f t="shared" si="7"/>
        <v>2.6109660574412537E-3</v>
      </c>
    </row>
    <row r="42" spans="1:30">
      <c r="A42" t="s">
        <v>61</v>
      </c>
      <c r="B42" t="s">
        <v>532</v>
      </c>
      <c r="C42" s="76">
        <v>94.8</v>
      </c>
      <c r="D42" s="76">
        <v>96.8</v>
      </c>
      <c r="E42" s="76">
        <v>97.8</v>
      </c>
      <c r="F42" s="76">
        <v>98.3</v>
      </c>
      <c r="G42" s="40">
        <f t="shared" si="0"/>
        <v>96.924999999999997</v>
      </c>
      <c r="H42" s="76">
        <v>100.3</v>
      </c>
      <c r="I42" s="76">
        <v>96.3</v>
      </c>
      <c r="J42" s="76">
        <v>95.3</v>
      </c>
      <c r="K42" s="76">
        <v>96.3</v>
      </c>
      <c r="L42" s="40">
        <f t="shared" si="1"/>
        <v>97.05</v>
      </c>
      <c r="M42" s="76">
        <v>95.3</v>
      </c>
      <c r="N42" s="76">
        <v>90.3</v>
      </c>
      <c r="O42" s="76">
        <v>91.3</v>
      </c>
      <c r="P42" s="76">
        <v>91.3</v>
      </c>
      <c r="Q42" s="40">
        <f t="shared" si="2"/>
        <v>92.05</v>
      </c>
      <c r="R42" s="16">
        <f t="shared" si="9"/>
        <v>94.529166666666654</v>
      </c>
      <c r="T42" s="6">
        <f t="shared" si="10"/>
        <v>5.0139172836029592E-4</v>
      </c>
      <c r="V42" s="23">
        <f>+claims!D42</f>
        <v>1</v>
      </c>
      <c r="W42" s="23">
        <f>+claims!E42</f>
        <v>1</v>
      </c>
      <c r="X42" s="23">
        <f>+claims!F42</f>
        <v>0</v>
      </c>
      <c r="Z42" s="6">
        <f t="shared" si="5"/>
        <v>0.01</v>
      </c>
      <c r="AA42" s="6">
        <f t="shared" si="6"/>
        <v>0.01</v>
      </c>
      <c r="AB42" s="6">
        <f t="shared" si="8"/>
        <v>0</v>
      </c>
      <c r="AD42" s="6">
        <f t="shared" si="7"/>
        <v>5.0000000000000001E-3</v>
      </c>
    </row>
    <row r="43" spans="1:30">
      <c r="A43" t="s">
        <v>62</v>
      </c>
      <c r="B43" t="s">
        <v>63</v>
      </c>
      <c r="C43" s="76">
        <v>181.7</v>
      </c>
      <c r="D43" s="76">
        <v>178</v>
      </c>
      <c r="E43" s="76">
        <v>176.8</v>
      </c>
      <c r="F43" s="76">
        <v>185.3</v>
      </c>
      <c r="G43" s="40">
        <f t="shared" si="0"/>
        <v>180.45</v>
      </c>
      <c r="H43" s="76">
        <v>186.4</v>
      </c>
      <c r="I43" s="76">
        <v>191.3</v>
      </c>
      <c r="J43" s="76">
        <v>188.1</v>
      </c>
      <c r="K43" s="76">
        <v>188.4</v>
      </c>
      <c r="L43" s="40">
        <f t="shared" si="1"/>
        <v>188.55</v>
      </c>
      <c r="M43" s="76">
        <v>189</v>
      </c>
      <c r="N43" s="76">
        <v>190</v>
      </c>
      <c r="O43" s="76">
        <v>191.7</v>
      </c>
      <c r="P43" s="76">
        <v>193</v>
      </c>
      <c r="Q43" s="40">
        <f t="shared" si="2"/>
        <v>190.92500000000001</v>
      </c>
      <c r="R43" s="16">
        <f t="shared" si="9"/>
        <v>188.38750000000002</v>
      </c>
      <c r="T43" s="6">
        <f t="shared" si="10"/>
        <v>9.9922529265015505E-4</v>
      </c>
      <c r="V43" s="23">
        <f>+claims!D43</f>
        <v>0</v>
      </c>
      <c r="W43" s="23">
        <f>+claims!E43</f>
        <v>1</v>
      </c>
      <c r="X43" s="23">
        <f>+claims!F43</f>
        <v>2</v>
      </c>
      <c r="Z43" s="6">
        <f t="shared" si="5"/>
        <v>0</v>
      </c>
      <c r="AA43" s="6">
        <f t="shared" si="6"/>
        <v>5.3036329885971885E-3</v>
      </c>
      <c r="AB43" s="6">
        <f t="shared" si="8"/>
        <v>1.047531753306272E-2</v>
      </c>
      <c r="AD43" s="6">
        <f t="shared" si="7"/>
        <v>7.0055364293970905E-3</v>
      </c>
    </row>
    <row r="44" spans="1:30">
      <c r="A44" s="50" t="s">
        <v>64</v>
      </c>
      <c r="B44" s="50" t="s">
        <v>533</v>
      </c>
      <c r="C44" s="77">
        <v>3044</v>
      </c>
      <c r="D44" s="77">
        <v>2955.7</v>
      </c>
      <c r="E44" s="77">
        <v>2905.1</v>
      </c>
      <c r="F44" s="77">
        <v>2866.7</v>
      </c>
      <c r="G44" s="40">
        <f t="shared" si="0"/>
        <v>2942.875</v>
      </c>
      <c r="H44" s="77">
        <v>2811.3</v>
      </c>
      <c r="I44" s="77">
        <v>2791.5</v>
      </c>
      <c r="J44" s="77">
        <v>2784.7000000000003</v>
      </c>
      <c r="K44" s="77">
        <v>2747.4</v>
      </c>
      <c r="L44" s="40">
        <f t="shared" si="1"/>
        <v>2783.7249999999999</v>
      </c>
      <c r="M44" s="77">
        <v>2725.3999999999996</v>
      </c>
      <c r="N44" s="77">
        <v>2739.4</v>
      </c>
      <c r="O44" s="77">
        <v>2731.2000000000003</v>
      </c>
      <c r="P44" s="77">
        <v>2742</v>
      </c>
      <c r="Q44" s="40">
        <f t="shared" si="2"/>
        <v>2734.5</v>
      </c>
      <c r="R44" s="16">
        <f t="shared" si="9"/>
        <v>2785.6375000000003</v>
      </c>
      <c r="T44" s="6">
        <f t="shared" si="10"/>
        <v>1.4775287352689249E-2</v>
      </c>
      <c r="V44" s="23">
        <f>+claims!D44</f>
        <v>57</v>
      </c>
      <c r="W44" s="23">
        <f>+claims!E44</f>
        <v>59</v>
      </c>
      <c r="X44" s="23">
        <f>+claims!F44</f>
        <v>40</v>
      </c>
      <c r="Z44" s="6">
        <f t="shared" si="5"/>
        <v>1.9368814509620694E-2</v>
      </c>
      <c r="AA44" s="6">
        <f t="shared" si="6"/>
        <v>2.1194622313626527E-2</v>
      </c>
      <c r="AB44" s="6">
        <f t="shared" si="8"/>
        <v>1.4627902724446883E-2</v>
      </c>
      <c r="AD44" s="6">
        <f t="shared" si="7"/>
        <v>1.7606961218369067E-2</v>
      </c>
    </row>
    <row r="45" spans="1:30">
      <c r="A45" t="s">
        <v>555</v>
      </c>
      <c r="B45" t="s">
        <v>556</v>
      </c>
      <c r="C45" s="76">
        <v>6.6</v>
      </c>
      <c r="D45" s="76">
        <v>6.6</v>
      </c>
      <c r="E45" s="76">
        <v>6.6</v>
      </c>
      <c r="F45" s="76">
        <v>6.6</v>
      </c>
      <c r="G45" s="40">
        <f t="shared" si="0"/>
        <v>6.6</v>
      </c>
      <c r="H45" s="76">
        <v>7</v>
      </c>
      <c r="I45" s="76">
        <v>6.6</v>
      </c>
      <c r="J45" s="76">
        <v>6.6</v>
      </c>
      <c r="K45" s="76">
        <v>7</v>
      </c>
      <c r="L45" s="40">
        <f t="shared" si="1"/>
        <v>6.8</v>
      </c>
      <c r="M45" s="76">
        <v>8.1</v>
      </c>
      <c r="N45" s="76">
        <v>11</v>
      </c>
      <c r="O45" s="76">
        <v>11</v>
      </c>
      <c r="P45" s="76">
        <v>12</v>
      </c>
      <c r="Q45" s="40">
        <f t="shared" si="2"/>
        <v>10.525</v>
      </c>
      <c r="R45" s="16">
        <f t="shared" si="9"/>
        <v>8.6291666666666682</v>
      </c>
      <c r="T45" s="6">
        <f t="shared" si="10"/>
        <v>4.5769924160716414E-5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76">
        <v>102</v>
      </c>
      <c r="D46" s="76">
        <v>101</v>
      </c>
      <c r="E46" s="76">
        <v>104</v>
      </c>
      <c r="F46" s="76">
        <v>100</v>
      </c>
      <c r="G46" s="40">
        <f t="shared" si="0"/>
        <v>101.75</v>
      </c>
      <c r="H46" s="76">
        <v>101</v>
      </c>
      <c r="I46" s="76">
        <v>97</v>
      </c>
      <c r="J46" s="76">
        <v>104</v>
      </c>
      <c r="K46" s="76">
        <v>97</v>
      </c>
      <c r="L46" s="40">
        <f t="shared" si="1"/>
        <v>99.75</v>
      </c>
      <c r="M46" s="76">
        <v>96</v>
      </c>
      <c r="N46" s="76">
        <v>101</v>
      </c>
      <c r="O46" s="76">
        <v>102</v>
      </c>
      <c r="P46" s="76">
        <v>97</v>
      </c>
      <c r="Q46" s="40">
        <f t="shared" si="2"/>
        <v>99</v>
      </c>
      <c r="R46" s="16">
        <f t="shared" si="9"/>
        <v>99.708333333333329</v>
      </c>
      <c r="T46" s="6">
        <f t="shared" si="10"/>
        <v>5.2886252301590701E-4</v>
      </c>
      <c r="V46" s="23">
        <f>+claims!D46</f>
        <v>1</v>
      </c>
      <c r="W46" s="23">
        <f>+claims!E46</f>
        <v>3</v>
      </c>
      <c r="X46" s="23">
        <f>+claims!F46</f>
        <v>1</v>
      </c>
      <c r="Z46" s="6">
        <f t="shared" si="5"/>
        <v>9.8280098280098278E-3</v>
      </c>
      <c r="AA46" s="6">
        <f t="shared" si="6"/>
        <v>0.03</v>
      </c>
      <c r="AB46" s="6">
        <f t="shared" si="8"/>
        <v>0.01</v>
      </c>
      <c r="AD46" s="6">
        <f t="shared" si="7"/>
        <v>1.6638001638001637E-2</v>
      </c>
    </row>
    <row r="47" spans="1:30">
      <c r="A47" t="s">
        <v>67</v>
      </c>
      <c r="B47" t="s">
        <v>68</v>
      </c>
      <c r="C47" s="76">
        <v>295.89999999999998</v>
      </c>
      <c r="D47" s="76">
        <v>297</v>
      </c>
      <c r="E47" s="76">
        <v>295</v>
      </c>
      <c r="F47" s="76">
        <v>292.5</v>
      </c>
      <c r="G47" s="40">
        <f t="shared" si="0"/>
        <v>295.10000000000002</v>
      </c>
      <c r="H47" s="76">
        <v>285</v>
      </c>
      <c r="I47" s="76">
        <v>286</v>
      </c>
      <c r="J47" s="76">
        <v>285.39999999999998</v>
      </c>
      <c r="K47" s="76">
        <v>278</v>
      </c>
      <c r="L47" s="40">
        <f t="shared" si="1"/>
        <v>283.60000000000002</v>
      </c>
      <c r="M47" s="76">
        <v>275</v>
      </c>
      <c r="N47" s="76">
        <v>278.5</v>
      </c>
      <c r="O47" s="76">
        <v>281</v>
      </c>
      <c r="P47" s="76">
        <v>282</v>
      </c>
      <c r="Q47" s="40">
        <f t="shared" si="2"/>
        <v>279.125</v>
      </c>
      <c r="R47" s="16">
        <f t="shared" si="9"/>
        <v>283.2791666666667</v>
      </c>
      <c r="T47" s="6">
        <f t="shared" si="10"/>
        <v>1.5025397556323642E-3</v>
      </c>
      <c r="V47" s="23">
        <f>+claims!D47</f>
        <v>1</v>
      </c>
      <c r="W47" s="23">
        <f>+claims!E47</f>
        <v>6</v>
      </c>
      <c r="X47" s="23">
        <f>+claims!F47</f>
        <v>1</v>
      </c>
      <c r="Z47" s="6">
        <f t="shared" si="5"/>
        <v>3.3886818027787187E-3</v>
      </c>
      <c r="AA47" s="6">
        <f t="shared" si="6"/>
        <v>2.1156558533145273E-2</v>
      </c>
      <c r="AB47" s="6">
        <f t="shared" si="8"/>
        <v>3.5826242722794446E-3</v>
      </c>
      <c r="AD47" s="6">
        <f t="shared" si="7"/>
        <v>9.4082786143179324E-3</v>
      </c>
    </row>
    <row r="48" spans="1:30">
      <c r="A48" t="s">
        <v>69</v>
      </c>
      <c r="B48" t="s">
        <v>70</v>
      </c>
      <c r="C48" s="76">
        <v>12</v>
      </c>
      <c r="D48" s="76">
        <v>14</v>
      </c>
      <c r="E48" s="76">
        <v>13</v>
      </c>
      <c r="F48" s="76">
        <v>11.6</v>
      </c>
      <c r="G48" s="40">
        <f t="shared" si="0"/>
        <v>12.65</v>
      </c>
      <c r="H48" s="76">
        <v>13.8</v>
      </c>
      <c r="I48" s="76">
        <v>13.5</v>
      </c>
      <c r="J48" s="76">
        <v>12.7</v>
      </c>
      <c r="K48" s="76">
        <v>11.4</v>
      </c>
      <c r="L48" s="40">
        <f t="shared" si="1"/>
        <v>12.85</v>
      </c>
      <c r="M48" s="76">
        <v>11.5</v>
      </c>
      <c r="N48" s="76">
        <v>12.9</v>
      </c>
      <c r="O48" s="76">
        <v>13</v>
      </c>
      <c r="P48" s="76">
        <v>13.3</v>
      </c>
      <c r="Q48" s="40">
        <f t="shared" si="2"/>
        <v>12.675000000000001</v>
      </c>
      <c r="R48" s="16">
        <f t="shared" si="9"/>
        <v>12.729166666666666</v>
      </c>
      <c r="T48" s="6">
        <f t="shared" si="10"/>
        <v>6.7516715746493766E-5</v>
      </c>
      <c r="V48" s="23">
        <f>+claims!D48</f>
        <v>0</v>
      </c>
      <c r="W48" s="23">
        <f>+claims!E48</f>
        <v>0</v>
      </c>
      <c r="X48" s="23">
        <f>+claims!F48</f>
        <v>1</v>
      </c>
      <c r="Z48" s="6">
        <f t="shared" si="5"/>
        <v>0</v>
      </c>
      <c r="AA48" s="6">
        <f t="shared" si="6"/>
        <v>0</v>
      </c>
      <c r="AB48" s="6">
        <f t="shared" si="8"/>
        <v>0.01</v>
      </c>
      <c r="AD48" s="6">
        <f t="shared" si="7"/>
        <v>5.0000000000000001E-3</v>
      </c>
    </row>
    <row r="49" spans="1:30">
      <c r="A49" t="s">
        <v>71</v>
      </c>
      <c r="B49" t="s">
        <v>72</v>
      </c>
      <c r="C49" s="76">
        <v>9.9</v>
      </c>
      <c r="D49" s="76">
        <v>8.1</v>
      </c>
      <c r="E49" s="76">
        <v>6.9</v>
      </c>
      <c r="F49" s="76">
        <v>6.5</v>
      </c>
      <c r="G49" s="40">
        <f t="shared" si="0"/>
        <v>7.85</v>
      </c>
      <c r="H49" s="76">
        <v>8.4</v>
      </c>
      <c r="I49" s="76">
        <v>10.8</v>
      </c>
      <c r="J49" s="76">
        <v>11.8</v>
      </c>
      <c r="K49" s="76">
        <v>11.8</v>
      </c>
      <c r="L49" s="40">
        <f t="shared" si="1"/>
        <v>10.700000000000001</v>
      </c>
      <c r="M49" s="76">
        <v>12</v>
      </c>
      <c r="N49" s="76">
        <v>11.8</v>
      </c>
      <c r="O49" s="76">
        <v>11</v>
      </c>
      <c r="P49" s="76">
        <v>14</v>
      </c>
      <c r="Q49" s="40">
        <f t="shared" si="2"/>
        <v>12.2</v>
      </c>
      <c r="R49" s="16">
        <f t="shared" si="9"/>
        <v>10.975</v>
      </c>
      <c r="T49" s="6">
        <f t="shared" si="10"/>
        <v>5.8212448208269921E-5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76">
        <v>9</v>
      </c>
      <c r="D50" s="76">
        <v>9</v>
      </c>
      <c r="E50" s="76">
        <v>9</v>
      </c>
      <c r="F50" s="76">
        <v>10</v>
      </c>
      <c r="G50" s="40">
        <f t="shared" si="0"/>
        <v>9.25</v>
      </c>
      <c r="H50" s="76">
        <v>10</v>
      </c>
      <c r="I50" s="76">
        <v>10</v>
      </c>
      <c r="J50" s="76">
        <v>9</v>
      </c>
      <c r="K50" s="76">
        <v>10</v>
      </c>
      <c r="L50" s="40">
        <f t="shared" si="1"/>
        <v>9.75</v>
      </c>
      <c r="M50" s="76">
        <v>10</v>
      </c>
      <c r="N50" s="76">
        <v>10</v>
      </c>
      <c r="O50" s="76">
        <v>10</v>
      </c>
      <c r="P50" s="76">
        <v>10</v>
      </c>
      <c r="Q50" s="40">
        <f t="shared" si="2"/>
        <v>10</v>
      </c>
      <c r="R50" s="16">
        <f t="shared" si="9"/>
        <v>9.7916666666666661</v>
      </c>
      <c r="T50" s="6">
        <f t="shared" si="10"/>
        <v>5.1935935189610596E-5</v>
      </c>
      <c r="V50" s="23">
        <f>+claims!D50</f>
        <v>0</v>
      </c>
      <c r="W50" s="23">
        <f>+claims!E50</f>
        <v>0</v>
      </c>
      <c r="X50" s="23">
        <f>+claims!F50</f>
        <v>1</v>
      </c>
      <c r="Z50" s="6">
        <f t="shared" si="5"/>
        <v>0</v>
      </c>
      <c r="AA50" s="6">
        <f t="shared" si="6"/>
        <v>0</v>
      </c>
      <c r="AB50" s="6">
        <f t="shared" si="8"/>
        <v>0.01</v>
      </c>
      <c r="AD50" s="6">
        <f t="shared" si="7"/>
        <v>5.0000000000000001E-3</v>
      </c>
    </row>
    <row r="51" spans="1:30">
      <c r="A51" t="s">
        <v>75</v>
      </c>
      <c r="B51" t="s">
        <v>76</v>
      </c>
      <c r="C51" s="76">
        <v>31.7</v>
      </c>
      <c r="D51" s="40">
        <v>28.8</v>
      </c>
      <c r="E51" s="76">
        <v>28.7</v>
      </c>
      <c r="F51" s="76">
        <v>30.7</v>
      </c>
      <c r="G51" s="40">
        <f t="shared" si="0"/>
        <v>29.975000000000001</v>
      </c>
      <c r="H51" s="76">
        <v>30</v>
      </c>
      <c r="I51" s="40">
        <v>29.7</v>
      </c>
      <c r="J51" s="76">
        <v>29.7</v>
      </c>
      <c r="K51" s="76">
        <v>29</v>
      </c>
      <c r="L51" s="40">
        <f t="shared" si="1"/>
        <v>29.6</v>
      </c>
      <c r="M51" s="76">
        <v>27.9</v>
      </c>
      <c r="N51" s="40">
        <v>29.5</v>
      </c>
      <c r="O51" s="76">
        <v>30.6</v>
      </c>
      <c r="P51" s="76">
        <v>30.8</v>
      </c>
      <c r="Q51" s="40">
        <f t="shared" si="2"/>
        <v>29.7</v>
      </c>
      <c r="R51" s="16">
        <f t="shared" si="9"/>
        <v>29.712500000000002</v>
      </c>
      <c r="T51" s="6">
        <f t="shared" si="10"/>
        <v>1.575979378030269E-4</v>
      </c>
      <c r="V51" s="23">
        <f>+claims!D51</f>
        <v>0</v>
      </c>
      <c r="W51" s="23">
        <f>+claims!E51</f>
        <v>1</v>
      </c>
      <c r="X51" s="23">
        <f>+claims!F51</f>
        <v>0</v>
      </c>
      <c r="Z51" s="6">
        <f t="shared" si="5"/>
        <v>0</v>
      </c>
      <c r="AA51" s="6">
        <f t="shared" si="6"/>
        <v>0.01</v>
      </c>
      <c r="AB51" s="6">
        <f t="shared" si="8"/>
        <v>0</v>
      </c>
      <c r="AD51" s="6">
        <f t="shared" si="7"/>
        <v>3.3333333333333335E-3</v>
      </c>
    </row>
    <row r="52" spans="1:30">
      <c r="A52" t="s">
        <v>77</v>
      </c>
      <c r="B52" t="s">
        <v>78</v>
      </c>
      <c r="C52" s="76">
        <v>10.1</v>
      </c>
      <c r="D52" s="76">
        <v>10.1</v>
      </c>
      <c r="E52" s="76">
        <v>10.1</v>
      </c>
      <c r="F52" s="76">
        <v>10.1</v>
      </c>
      <c r="G52" s="40">
        <f t="shared" si="0"/>
        <v>10.1</v>
      </c>
      <c r="H52" s="76">
        <v>10.1</v>
      </c>
      <c r="I52" s="76">
        <v>10</v>
      </c>
      <c r="J52" s="76">
        <v>10.1</v>
      </c>
      <c r="K52" s="76">
        <v>10.3</v>
      </c>
      <c r="L52" s="40">
        <f t="shared" si="1"/>
        <v>10.125</v>
      </c>
      <c r="M52" s="76">
        <v>10.1</v>
      </c>
      <c r="N52" s="76">
        <v>10.1</v>
      </c>
      <c r="O52" s="76">
        <v>10.1</v>
      </c>
      <c r="P52" s="76">
        <v>10.6</v>
      </c>
      <c r="Q52" s="40">
        <f t="shared" si="2"/>
        <v>10.225</v>
      </c>
      <c r="R52" s="16">
        <f t="shared" ref="R52:R99" si="11">IF(G52&gt;0,(+G52+(L52*2)+(Q52*3))/6,IF(L52&gt;0,((L52*2)+(Q52*3))/5,Q52))</f>
        <v>10.170833333333333</v>
      </c>
      <c r="T52" s="6">
        <f t="shared" si="10"/>
        <v>5.3947071403335939E-5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76">
        <v>104.6</v>
      </c>
      <c r="D53" s="76">
        <v>105</v>
      </c>
      <c r="E53" s="76">
        <v>105.2</v>
      </c>
      <c r="F53" s="76">
        <v>106.1</v>
      </c>
      <c r="G53" s="40">
        <f t="shared" si="0"/>
        <v>105.22499999999999</v>
      </c>
      <c r="H53" s="76">
        <v>106</v>
      </c>
      <c r="I53" s="76">
        <v>106.4</v>
      </c>
      <c r="J53" s="76">
        <v>106</v>
      </c>
      <c r="K53" s="76">
        <v>107</v>
      </c>
      <c r="L53" s="40">
        <f t="shared" si="1"/>
        <v>106.35</v>
      </c>
      <c r="M53" s="76">
        <v>106.4</v>
      </c>
      <c r="N53" s="76">
        <v>106.8</v>
      </c>
      <c r="O53" s="76">
        <v>106.3</v>
      </c>
      <c r="P53" s="76">
        <v>109.9</v>
      </c>
      <c r="Q53" s="40">
        <f t="shared" si="2"/>
        <v>107.35</v>
      </c>
      <c r="R53" s="16">
        <f t="shared" si="11"/>
        <v>106.66249999999998</v>
      </c>
      <c r="T53" s="6">
        <f t="shared" si="10"/>
        <v>5.6574808719950698E-4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498</v>
      </c>
      <c r="C54" s="76">
        <v>293</v>
      </c>
      <c r="D54" s="76">
        <v>295.60000000000002</v>
      </c>
      <c r="E54" s="76">
        <v>297.8</v>
      </c>
      <c r="F54" s="76">
        <v>302.7</v>
      </c>
      <c r="G54" s="40">
        <f t="shared" si="0"/>
        <v>297.27500000000003</v>
      </c>
      <c r="H54" s="76">
        <v>306.39999999999998</v>
      </c>
      <c r="I54" s="76">
        <v>309.3</v>
      </c>
      <c r="J54" s="76">
        <v>305.2</v>
      </c>
      <c r="K54" s="76">
        <v>303.2</v>
      </c>
      <c r="L54" s="40">
        <f t="shared" si="1"/>
        <v>306.02500000000003</v>
      </c>
      <c r="M54" s="76">
        <v>303.10000000000002</v>
      </c>
      <c r="N54" s="76">
        <v>309.7</v>
      </c>
      <c r="O54" s="76">
        <v>307.8</v>
      </c>
      <c r="P54" s="76">
        <v>308</v>
      </c>
      <c r="Q54" s="40">
        <f t="shared" si="2"/>
        <v>307.14999999999998</v>
      </c>
      <c r="R54" s="16">
        <f t="shared" si="11"/>
        <v>305.12916666666666</v>
      </c>
      <c r="T54" s="6">
        <f t="shared" si="10"/>
        <v>1.6184342424980314E-3</v>
      </c>
      <c r="V54" s="23">
        <f>+claims!D54</f>
        <v>4</v>
      </c>
      <c r="W54" s="23">
        <f>+claims!E54</f>
        <v>1</v>
      </c>
      <c r="X54" s="23">
        <f>+claims!F54</f>
        <v>1</v>
      </c>
      <c r="Z54" s="6">
        <f t="shared" si="5"/>
        <v>1.3455554621142039E-2</v>
      </c>
      <c r="AA54" s="6">
        <f t="shared" si="6"/>
        <v>3.2677068866922634E-3</v>
      </c>
      <c r="AB54" s="6">
        <f t="shared" si="8"/>
        <v>3.255738238645613E-3</v>
      </c>
      <c r="AD54" s="6">
        <f t="shared" si="7"/>
        <v>4.9596971850772338E-3</v>
      </c>
    </row>
    <row r="55" spans="1:30">
      <c r="A55" t="s">
        <v>82</v>
      </c>
      <c r="B55" t="s">
        <v>83</v>
      </c>
      <c r="C55" s="76">
        <v>6</v>
      </c>
      <c r="D55" s="76">
        <v>6</v>
      </c>
      <c r="E55" s="76">
        <v>6</v>
      </c>
      <c r="F55" s="76">
        <v>5</v>
      </c>
      <c r="G55" s="40">
        <f t="shared" si="0"/>
        <v>5.75</v>
      </c>
      <c r="H55" s="76">
        <v>6</v>
      </c>
      <c r="I55" s="76">
        <v>6</v>
      </c>
      <c r="J55" s="76">
        <v>6</v>
      </c>
      <c r="K55" s="76">
        <v>6</v>
      </c>
      <c r="L55" s="40">
        <f t="shared" si="1"/>
        <v>6</v>
      </c>
      <c r="M55" s="76">
        <v>7</v>
      </c>
      <c r="N55" s="76">
        <v>7</v>
      </c>
      <c r="O55" s="76">
        <v>7</v>
      </c>
      <c r="P55" s="76">
        <v>6</v>
      </c>
      <c r="Q55" s="40">
        <f t="shared" si="2"/>
        <v>6.75</v>
      </c>
      <c r="R55" s="16">
        <f t="shared" si="11"/>
        <v>6.333333333333333</v>
      </c>
      <c r="T55" s="6">
        <f t="shared" si="10"/>
        <v>3.359260488859919E-5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99" si="12">IF(G55&gt;100,IF(V55&lt;1,0,+V55/G55),IF(V55&lt;1,0,+V55/100))</f>
        <v>0</v>
      </c>
      <c r="AA55" s="6">
        <f t="shared" ref="AA55:AA99" si="13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6" t="s">
        <v>559</v>
      </c>
      <c r="C56" s="76">
        <v>557</v>
      </c>
      <c r="D56" s="76">
        <v>529</v>
      </c>
      <c r="E56" s="76">
        <v>525</v>
      </c>
      <c r="F56" s="76">
        <v>518</v>
      </c>
      <c r="G56" s="40">
        <f t="shared" si="0"/>
        <v>532.25</v>
      </c>
      <c r="H56" s="76">
        <v>525</v>
      </c>
      <c r="I56" s="76">
        <v>533.70000000000005</v>
      </c>
      <c r="J56" s="76">
        <v>517</v>
      </c>
      <c r="K56" s="76">
        <v>522.79999999999995</v>
      </c>
      <c r="L56" s="40">
        <f t="shared" si="1"/>
        <v>524.625</v>
      </c>
      <c r="M56" s="76">
        <v>518</v>
      </c>
      <c r="N56" s="76">
        <v>520</v>
      </c>
      <c r="O56" s="76">
        <v>528</v>
      </c>
      <c r="P56" s="76">
        <v>522</v>
      </c>
      <c r="Q56" s="40">
        <f t="shared" ref="Q56:Q102" si="14">AVERAGE(M56:P56)</f>
        <v>522</v>
      </c>
      <c r="R56" s="16">
        <f t="shared" si="11"/>
        <v>524.58333333333337</v>
      </c>
      <c r="T56" s="6">
        <f t="shared" si="10"/>
        <v>2.7824401022859468E-3</v>
      </c>
      <c r="V56" s="23">
        <f>+claims!D56</f>
        <v>22</v>
      </c>
      <c r="W56" s="23">
        <f>+claims!E56</f>
        <v>78</v>
      </c>
      <c r="X56" s="23">
        <f>+claims!F56</f>
        <v>44</v>
      </c>
      <c r="Z56" s="6">
        <f t="shared" si="12"/>
        <v>4.133395960544857E-2</v>
      </c>
      <c r="AA56" s="6">
        <f t="shared" si="13"/>
        <v>0.14867762687634023</v>
      </c>
      <c r="AB56" s="6">
        <f t="shared" si="8"/>
        <v>8.4291187739463605E-2</v>
      </c>
      <c r="AD56" s="6">
        <f t="shared" si="7"/>
        <v>9.859379609608665E-2</v>
      </c>
    </row>
    <row r="57" spans="1:30">
      <c r="A57" t="s">
        <v>85</v>
      </c>
      <c r="B57" t="s">
        <v>86</v>
      </c>
      <c r="C57" s="76">
        <v>360</v>
      </c>
      <c r="D57" s="76">
        <v>365.5</v>
      </c>
      <c r="E57" s="76">
        <v>374</v>
      </c>
      <c r="F57" s="76">
        <v>388.9</v>
      </c>
      <c r="G57" s="40">
        <f t="shared" si="0"/>
        <v>372.1</v>
      </c>
      <c r="H57" s="76">
        <v>384.1</v>
      </c>
      <c r="I57" s="76">
        <v>385</v>
      </c>
      <c r="J57" s="76">
        <v>394</v>
      </c>
      <c r="K57" s="76">
        <v>392</v>
      </c>
      <c r="L57" s="40">
        <f t="shared" si="1"/>
        <v>388.77499999999998</v>
      </c>
      <c r="M57" s="76">
        <v>396.7</v>
      </c>
      <c r="N57" s="76">
        <v>399</v>
      </c>
      <c r="O57" s="76">
        <v>394</v>
      </c>
      <c r="P57" s="76">
        <v>380</v>
      </c>
      <c r="Q57" s="40">
        <f t="shared" si="14"/>
        <v>392.42500000000001</v>
      </c>
      <c r="R57" s="16">
        <f t="shared" si="11"/>
        <v>387.82083333333338</v>
      </c>
      <c r="T57" s="6">
        <f t="shared" si="10"/>
        <v>2.0570387402737813E-3</v>
      </c>
      <c r="V57" s="23">
        <f>+claims!D57</f>
        <v>5</v>
      </c>
      <c r="W57" s="23">
        <f>+claims!E57</f>
        <v>4</v>
      </c>
      <c r="X57" s="23">
        <f>+claims!F57</f>
        <v>4</v>
      </c>
      <c r="Z57" s="6">
        <f t="shared" si="12"/>
        <v>1.3437248051599031E-2</v>
      </c>
      <c r="AA57" s="6">
        <f t="shared" si="13"/>
        <v>1.0288727413028102E-2</v>
      </c>
      <c r="AB57" s="6">
        <f t="shared" si="8"/>
        <v>1.0193030515385105E-2</v>
      </c>
      <c r="AD57" s="6">
        <f t="shared" si="7"/>
        <v>1.0765632403968425E-2</v>
      </c>
    </row>
    <row r="58" spans="1:30">
      <c r="A58" t="s">
        <v>87</v>
      </c>
      <c r="B58" t="s">
        <v>88</v>
      </c>
      <c r="C58" s="77">
        <v>8976.9</v>
      </c>
      <c r="D58" s="77">
        <v>9035.4</v>
      </c>
      <c r="E58" s="77">
        <v>8986.7000000000007</v>
      </c>
      <c r="F58" s="77">
        <v>9077.4</v>
      </c>
      <c r="G58" s="40">
        <f t="shared" si="0"/>
        <v>9019.1</v>
      </c>
      <c r="H58" s="77">
        <v>8982.6</v>
      </c>
      <c r="I58" s="77">
        <v>9024.2000000000007</v>
      </c>
      <c r="J58" s="77">
        <v>9043.6</v>
      </c>
      <c r="K58" s="77">
        <v>9048.6</v>
      </c>
      <c r="L58" s="40">
        <f t="shared" si="1"/>
        <v>9024.75</v>
      </c>
      <c r="M58" s="77">
        <v>9068.7000000000007</v>
      </c>
      <c r="N58" s="77">
        <v>9152.2000000000007</v>
      </c>
      <c r="O58" s="77">
        <v>9311.7000000000007</v>
      </c>
      <c r="P58" s="77">
        <v>9466.4</v>
      </c>
      <c r="Q58" s="40">
        <f t="shared" si="14"/>
        <v>9249.75</v>
      </c>
      <c r="R58" s="16">
        <f t="shared" si="11"/>
        <v>9136.3083333333325</v>
      </c>
      <c r="T58" s="6">
        <f t="shared" si="10"/>
        <v>4.8459851997170976E-2</v>
      </c>
      <c r="V58" s="23">
        <f>+claims!D58</f>
        <v>403</v>
      </c>
      <c r="W58" s="23">
        <f>+claims!E58</f>
        <v>423</v>
      </c>
      <c r="X58" s="23">
        <f>+claims!F58</f>
        <v>510</v>
      </c>
      <c r="Z58" s="6">
        <f t="shared" si="12"/>
        <v>4.4682950627002692E-2</v>
      </c>
      <c r="AA58" s="6">
        <f t="shared" si="13"/>
        <v>4.6871104462727499E-2</v>
      </c>
      <c r="AB58" s="6">
        <f t="shared" ref="AB58:AB105" si="15">IF(Q58&gt;100,IF(X58&lt;1,0,+X58/Q58),IF(X58&lt;1,0,+X58/100))</f>
        <v>5.5136625314197683E-2</v>
      </c>
      <c r="AD58" s="6">
        <f t="shared" si="7"/>
        <v>5.0639172582508461E-2</v>
      </c>
    </row>
    <row r="59" spans="1:30">
      <c r="A59" t="s">
        <v>89</v>
      </c>
      <c r="B59" s="36" t="s">
        <v>557</v>
      </c>
      <c r="C59" s="76">
        <v>45</v>
      </c>
      <c r="D59" s="76">
        <v>41.9</v>
      </c>
      <c r="E59" s="76">
        <v>43.2</v>
      </c>
      <c r="F59" s="76">
        <v>43.2</v>
      </c>
      <c r="G59" s="40">
        <f t="shared" si="0"/>
        <v>43.325000000000003</v>
      </c>
      <c r="H59" s="76">
        <v>45.7</v>
      </c>
      <c r="I59" s="76">
        <v>43.8</v>
      </c>
      <c r="J59" s="76">
        <v>43.7</v>
      </c>
      <c r="K59" s="76">
        <v>43.8</v>
      </c>
      <c r="L59" s="40">
        <f t="shared" si="1"/>
        <v>44.25</v>
      </c>
      <c r="M59" s="76">
        <v>47.7</v>
      </c>
      <c r="N59" s="76">
        <v>48.3</v>
      </c>
      <c r="O59" s="76">
        <v>48.4</v>
      </c>
      <c r="P59" s="76">
        <v>47.5</v>
      </c>
      <c r="Q59" s="40">
        <f t="shared" si="14"/>
        <v>47.975000000000001</v>
      </c>
      <c r="R59" s="16">
        <f t="shared" si="11"/>
        <v>45.958333333333336</v>
      </c>
      <c r="T59" s="6">
        <f t="shared" si="10"/>
        <v>2.4376738942187443E-4</v>
      </c>
      <c r="V59" s="23">
        <f>+claims!D59</f>
        <v>0</v>
      </c>
      <c r="W59" s="23">
        <f>+claims!E59</f>
        <v>0</v>
      </c>
      <c r="X59" s="23">
        <f>+claims!F59</f>
        <v>1</v>
      </c>
      <c r="Z59" s="6">
        <f t="shared" si="12"/>
        <v>0</v>
      </c>
      <c r="AA59" s="6">
        <f t="shared" si="13"/>
        <v>0</v>
      </c>
      <c r="AB59" s="6">
        <f t="shared" si="15"/>
        <v>0.01</v>
      </c>
      <c r="AD59" s="6">
        <f t="shared" si="7"/>
        <v>5.0000000000000001E-3</v>
      </c>
    </row>
    <row r="60" spans="1:30">
      <c r="A60" t="s">
        <v>90</v>
      </c>
      <c r="B60" t="s">
        <v>91</v>
      </c>
      <c r="C60" s="76">
        <v>14.9</v>
      </c>
      <c r="D60" s="76">
        <v>14.9</v>
      </c>
      <c r="E60" s="76">
        <v>15.3</v>
      </c>
      <c r="F60" s="76">
        <v>13.4</v>
      </c>
      <c r="G60" s="40">
        <f t="shared" si="0"/>
        <v>14.625</v>
      </c>
      <c r="H60" s="76">
        <v>14.7</v>
      </c>
      <c r="I60" s="76">
        <v>15.4</v>
      </c>
      <c r="J60" s="76">
        <v>14.9</v>
      </c>
      <c r="K60" s="76">
        <v>14.7</v>
      </c>
      <c r="L60" s="40">
        <f t="shared" si="1"/>
        <v>14.925000000000001</v>
      </c>
      <c r="M60" s="76">
        <v>16.399999999999999</v>
      </c>
      <c r="N60" s="76">
        <v>16.100000000000001</v>
      </c>
      <c r="O60" s="76">
        <v>15.2</v>
      </c>
      <c r="P60" s="76">
        <v>15.4</v>
      </c>
      <c r="Q60" s="40">
        <f t="shared" si="14"/>
        <v>15.775</v>
      </c>
      <c r="R60" s="16">
        <f t="shared" si="11"/>
        <v>15.300000000000002</v>
      </c>
      <c r="T60" s="6">
        <f t="shared" si="10"/>
        <v>8.1152661283510696E-5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2"/>
        <v>0</v>
      </c>
      <c r="AA60" s="6">
        <f t="shared" si="13"/>
        <v>0</v>
      </c>
      <c r="AB60" s="6">
        <f t="shared" si="15"/>
        <v>0</v>
      </c>
      <c r="AD60" s="6">
        <f t="shared" si="7"/>
        <v>0</v>
      </c>
    </row>
    <row r="61" spans="1:30">
      <c r="A61" t="s">
        <v>92</v>
      </c>
      <c r="B61" t="s">
        <v>93</v>
      </c>
      <c r="C61" s="76">
        <v>28.9</v>
      </c>
      <c r="D61" s="76">
        <v>27.2</v>
      </c>
      <c r="E61" s="76">
        <v>27.6</v>
      </c>
      <c r="F61" s="76">
        <v>26.9</v>
      </c>
      <c r="G61" s="40">
        <f t="shared" si="0"/>
        <v>27.65</v>
      </c>
      <c r="H61" s="76">
        <v>25.8</v>
      </c>
      <c r="I61" s="76">
        <v>28.9</v>
      </c>
      <c r="J61" s="76">
        <v>30</v>
      </c>
      <c r="K61" s="76">
        <v>30.2</v>
      </c>
      <c r="L61" s="40">
        <f t="shared" si="1"/>
        <v>28.725000000000001</v>
      </c>
      <c r="M61" s="76">
        <v>30.3</v>
      </c>
      <c r="N61" s="76">
        <v>31</v>
      </c>
      <c r="O61" s="76">
        <v>30</v>
      </c>
      <c r="P61" s="76">
        <v>30</v>
      </c>
      <c r="Q61" s="40">
        <f t="shared" si="14"/>
        <v>30.324999999999999</v>
      </c>
      <c r="R61" s="16">
        <f t="shared" si="11"/>
        <v>29.345833333333331</v>
      </c>
      <c r="T61" s="6">
        <f t="shared" si="10"/>
        <v>1.556531027831606E-4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2"/>
        <v>0</v>
      </c>
      <c r="AA61" s="6">
        <f t="shared" si="13"/>
        <v>0</v>
      </c>
      <c r="AB61" s="6">
        <f t="shared" si="15"/>
        <v>0</v>
      </c>
      <c r="AD61" s="6">
        <f t="shared" si="7"/>
        <v>0</v>
      </c>
    </row>
    <row r="62" spans="1:30">
      <c r="A62" t="s">
        <v>490</v>
      </c>
      <c r="B62" t="s">
        <v>491</v>
      </c>
      <c r="C62" s="76">
        <v>166.7</v>
      </c>
      <c r="D62" s="76">
        <v>168</v>
      </c>
      <c r="E62" s="76">
        <v>166.7</v>
      </c>
      <c r="F62" s="76">
        <v>163</v>
      </c>
      <c r="G62" s="40">
        <f t="shared" si="0"/>
        <v>166.1</v>
      </c>
      <c r="H62" s="76">
        <v>166.3</v>
      </c>
      <c r="I62" s="76">
        <v>164.9</v>
      </c>
      <c r="J62" s="76">
        <v>155.69999999999999</v>
      </c>
      <c r="K62" s="76">
        <v>161.69999999999999</v>
      </c>
      <c r="L62" s="40">
        <f t="shared" si="1"/>
        <v>162.15</v>
      </c>
      <c r="M62" s="76">
        <v>161.9</v>
      </c>
      <c r="N62" s="76">
        <v>161.19999999999999</v>
      </c>
      <c r="O62" s="76">
        <v>162.9</v>
      </c>
      <c r="P62" s="76">
        <v>166.3</v>
      </c>
      <c r="Q62" s="40">
        <f t="shared" si="14"/>
        <v>163.07499999999999</v>
      </c>
      <c r="R62" s="16">
        <f t="shared" si="11"/>
        <v>163.27083333333334</v>
      </c>
      <c r="T62" s="6">
        <f t="shared" si="10"/>
        <v>8.6600409378931548E-4</v>
      </c>
      <c r="V62" s="23">
        <f>+claims!D62</f>
        <v>3</v>
      </c>
      <c r="W62" s="23">
        <f>+claims!E62</f>
        <v>2</v>
      </c>
      <c r="X62" s="23">
        <f>+claims!F62</f>
        <v>1</v>
      </c>
      <c r="Z62" s="6">
        <f>IF(G62&gt;100,IF(V62&lt;1,0,+V62/G62),IF(V62&lt;1,0,+V62/100))</f>
        <v>1.8061408789885613E-2</v>
      </c>
      <c r="AA62" s="6">
        <f>IF(L62&gt;100,IF(W62&lt;1,0,+W62/L62),IF(W62&lt;1,0,+W62/100))</f>
        <v>1.2334258402713537E-2</v>
      </c>
      <c r="AB62" s="6">
        <f>IF(Q62&gt;100,IF(X62&lt;1,0,+X62/Q62),IF(X62&lt;1,0,+X62/100))</f>
        <v>6.1321477847616135E-3</v>
      </c>
      <c r="AD62" s="6">
        <f t="shared" si="7"/>
        <v>1.0187728158266254E-2</v>
      </c>
    </row>
    <row r="63" spans="1:30">
      <c r="A63" t="s">
        <v>94</v>
      </c>
      <c r="B63" t="s">
        <v>492</v>
      </c>
      <c r="C63" s="76">
        <v>60.6</v>
      </c>
      <c r="D63" s="76">
        <v>61</v>
      </c>
      <c r="E63" s="76">
        <v>59.2</v>
      </c>
      <c r="F63" s="76">
        <v>57.6</v>
      </c>
      <c r="G63" s="40">
        <f t="shared" si="0"/>
        <v>59.6</v>
      </c>
      <c r="H63" s="76">
        <v>54.4</v>
      </c>
      <c r="I63" s="76">
        <v>55</v>
      </c>
      <c r="J63" s="76">
        <v>55.6</v>
      </c>
      <c r="K63" s="76">
        <v>54.2</v>
      </c>
      <c r="L63" s="40">
        <f t="shared" si="1"/>
        <v>54.8</v>
      </c>
      <c r="M63" s="76">
        <v>52.9</v>
      </c>
      <c r="N63" s="76">
        <v>53</v>
      </c>
      <c r="O63" s="76">
        <v>51.1</v>
      </c>
      <c r="P63" s="76">
        <v>48.7</v>
      </c>
      <c r="Q63" s="40">
        <f t="shared" si="14"/>
        <v>51.424999999999997</v>
      </c>
      <c r="R63" s="16">
        <f t="shared" si="11"/>
        <v>53.912499999999994</v>
      </c>
      <c r="T63" s="6">
        <f t="shared" si="10"/>
        <v>2.8595704911420059E-4</v>
      </c>
      <c r="V63" s="23">
        <f>+claims!D63</f>
        <v>0</v>
      </c>
      <c r="W63" s="23">
        <f>+claims!E63</f>
        <v>0</v>
      </c>
      <c r="X63" s="23">
        <f>+claims!F63</f>
        <v>0</v>
      </c>
      <c r="Z63" s="6">
        <f t="shared" si="12"/>
        <v>0</v>
      </c>
      <c r="AA63" s="6">
        <f t="shared" si="13"/>
        <v>0</v>
      </c>
      <c r="AB63" s="6">
        <f t="shared" si="15"/>
        <v>0</v>
      </c>
      <c r="AD63" s="6">
        <f t="shared" si="7"/>
        <v>0</v>
      </c>
    </row>
    <row r="64" spans="1:30">
      <c r="A64" t="s">
        <v>95</v>
      </c>
      <c r="B64" t="s">
        <v>96</v>
      </c>
      <c r="C64" s="76">
        <v>181.5</v>
      </c>
      <c r="D64" s="76">
        <v>181</v>
      </c>
      <c r="E64" s="76">
        <v>182.6</v>
      </c>
      <c r="F64" s="76">
        <v>185.8</v>
      </c>
      <c r="G64" s="40">
        <f t="shared" si="0"/>
        <v>182.72500000000002</v>
      </c>
      <c r="H64" s="76">
        <v>186.6</v>
      </c>
      <c r="I64" s="76">
        <v>188.8</v>
      </c>
      <c r="J64" s="76">
        <v>185.7</v>
      </c>
      <c r="K64" s="76">
        <v>184.5</v>
      </c>
      <c r="L64" s="40">
        <f t="shared" si="1"/>
        <v>186.39999999999998</v>
      </c>
      <c r="M64" s="76">
        <v>182.7</v>
      </c>
      <c r="N64" s="76">
        <v>184.4</v>
      </c>
      <c r="O64" s="76">
        <v>180.7</v>
      </c>
      <c r="P64" s="76">
        <v>184.4</v>
      </c>
      <c r="Q64" s="40">
        <f t="shared" si="14"/>
        <v>183.04999999999998</v>
      </c>
      <c r="R64" s="16">
        <f t="shared" si="11"/>
        <v>184.11249999999998</v>
      </c>
      <c r="T64" s="6">
        <f t="shared" si="10"/>
        <v>9.7655028435035031E-4</v>
      </c>
      <c r="V64" s="23">
        <f>+claims!D64</f>
        <v>1</v>
      </c>
      <c r="W64" s="23">
        <f>+claims!E64</f>
        <v>0</v>
      </c>
      <c r="X64" s="23">
        <f>+claims!F64</f>
        <v>1</v>
      </c>
      <c r="Z64" s="6">
        <f t="shared" si="12"/>
        <v>5.4727048843891089E-3</v>
      </c>
      <c r="AA64" s="6">
        <f t="shared" si="13"/>
        <v>0</v>
      </c>
      <c r="AB64" s="6">
        <f t="shared" si="15"/>
        <v>5.4629882545752535E-3</v>
      </c>
      <c r="AD64" s="6">
        <f t="shared" si="7"/>
        <v>3.6436116080191452E-3</v>
      </c>
    </row>
    <row r="65" spans="1:30">
      <c r="A65" t="s">
        <v>97</v>
      </c>
      <c r="B65" t="s">
        <v>98</v>
      </c>
      <c r="C65" s="76">
        <f>358.6+3</f>
        <v>361.6</v>
      </c>
      <c r="D65" s="76">
        <f>358.2+4</f>
        <v>362.2</v>
      </c>
      <c r="E65" s="76">
        <f>354.1+4</f>
        <v>358.1</v>
      </c>
      <c r="F65" s="76">
        <f>359.9+4</f>
        <v>363.9</v>
      </c>
      <c r="G65" s="40">
        <f t="shared" si="0"/>
        <v>361.45000000000005</v>
      </c>
      <c r="H65" s="76">
        <f>364+4</f>
        <v>368</v>
      </c>
      <c r="I65" s="76">
        <f>366.8+4</f>
        <v>370.8</v>
      </c>
      <c r="J65" s="76">
        <f>370.9+4</f>
        <v>374.9</v>
      </c>
      <c r="K65" s="76">
        <f>381.2+4</f>
        <v>385.2</v>
      </c>
      <c r="L65" s="40">
        <f t="shared" si="1"/>
        <v>374.72499999999997</v>
      </c>
      <c r="M65" s="76">
        <f>395.9+4</f>
        <v>399.9</v>
      </c>
      <c r="N65" s="76">
        <f>399+4</f>
        <v>403</v>
      </c>
      <c r="O65" s="76">
        <f>409.7+4</f>
        <v>413.7</v>
      </c>
      <c r="P65" s="76">
        <f>414.6+4</f>
        <v>418.6</v>
      </c>
      <c r="Q65" s="40">
        <f t="shared" si="14"/>
        <v>408.79999999999995</v>
      </c>
      <c r="R65" s="16">
        <f t="shared" si="11"/>
        <v>389.55</v>
      </c>
      <c r="T65" s="6">
        <f t="shared" si="10"/>
        <v>2.0662104054242868E-3</v>
      </c>
      <c r="V65" s="23">
        <f>+claims!D65</f>
        <v>5</v>
      </c>
      <c r="W65" s="23">
        <f>+claims!E65</f>
        <v>0</v>
      </c>
      <c r="X65" s="23">
        <f>+claims!F65</f>
        <v>2</v>
      </c>
      <c r="Z65" s="6">
        <f t="shared" si="12"/>
        <v>1.3833171946327291E-2</v>
      </c>
      <c r="AA65" s="6">
        <f t="shared" si="13"/>
        <v>0</v>
      </c>
      <c r="AB65" s="6">
        <f t="shared" si="15"/>
        <v>4.8923679060665368E-3</v>
      </c>
      <c r="AD65" s="6">
        <f t="shared" si="7"/>
        <v>4.7517126107544834E-3</v>
      </c>
    </row>
    <row r="66" spans="1:30">
      <c r="A66" t="s">
        <v>99</v>
      </c>
      <c r="B66" t="s">
        <v>100</v>
      </c>
      <c r="C66" s="77">
        <v>1377.3</v>
      </c>
      <c r="D66" s="77">
        <v>1376.5</v>
      </c>
      <c r="E66" s="77">
        <v>1373.2</v>
      </c>
      <c r="F66" s="77">
        <v>1384.6</v>
      </c>
      <c r="G66" s="40">
        <f t="shared" si="0"/>
        <v>1377.9</v>
      </c>
      <c r="H66" s="77">
        <v>1373.3000000000002</v>
      </c>
      <c r="I66" s="77">
        <v>1371.3000000000002</v>
      </c>
      <c r="J66" s="77">
        <v>1372.3999999999999</v>
      </c>
      <c r="K66" s="77">
        <v>1351.2</v>
      </c>
      <c r="L66" s="40">
        <f t="shared" si="1"/>
        <v>1367.05</v>
      </c>
      <c r="M66" s="77">
        <v>1334.6</v>
      </c>
      <c r="N66" s="77">
        <v>1333.6000000000001</v>
      </c>
      <c r="O66" s="77">
        <v>1332.3</v>
      </c>
      <c r="P66" s="77">
        <v>1351.1</v>
      </c>
      <c r="Q66" s="40">
        <f t="shared" si="14"/>
        <v>1337.9</v>
      </c>
      <c r="R66" s="16">
        <f t="shared" si="11"/>
        <v>1354.2833333333335</v>
      </c>
      <c r="T66" s="6">
        <f t="shared" si="10"/>
        <v>7.1832481458760662E-3</v>
      </c>
      <c r="V66" s="23">
        <f>+claims!D66</f>
        <v>11</v>
      </c>
      <c r="W66" s="23">
        <f>+claims!E66</f>
        <v>9</v>
      </c>
      <c r="X66" s="23">
        <f>+claims!F66</f>
        <v>13</v>
      </c>
      <c r="Z66" s="6">
        <f t="shared" si="12"/>
        <v>7.983162783946585E-3</v>
      </c>
      <c r="AA66" s="6">
        <f t="shared" si="13"/>
        <v>6.5835192567938261E-3</v>
      </c>
      <c r="AB66" s="6">
        <f t="shared" si="15"/>
        <v>9.7167202332012845E-3</v>
      </c>
      <c r="AD66" s="6">
        <f t="shared" si="7"/>
        <v>8.3833936661896827E-3</v>
      </c>
    </row>
    <row r="67" spans="1:30">
      <c r="A67" t="s">
        <v>101</v>
      </c>
      <c r="B67" t="s">
        <v>534</v>
      </c>
      <c r="C67" s="76">
        <v>715.3</v>
      </c>
      <c r="D67" s="76">
        <v>723.9</v>
      </c>
      <c r="E67" s="76">
        <v>737.4</v>
      </c>
      <c r="F67" s="76">
        <v>752.1</v>
      </c>
      <c r="G67" s="40">
        <f t="shared" si="0"/>
        <v>732.17499999999995</v>
      </c>
      <c r="H67" s="76">
        <v>743.8</v>
      </c>
      <c r="I67" s="76">
        <v>759.1</v>
      </c>
      <c r="J67" s="76">
        <v>752</v>
      </c>
      <c r="K67" s="76">
        <v>742</v>
      </c>
      <c r="L67" s="40">
        <f t="shared" si="1"/>
        <v>749.22500000000002</v>
      </c>
      <c r="M67" s="76">
        <v>734</v>
      </c>
      <c r="N67" s="76">
        <v>720</v>
      </c>
      <c r="O67" s="76">
        <v>710</v>
      </c>
      <c r="P67" s="76">
        <v>694.6</v>
      </c>
      <c r="Q67" s="40">
        <f t="shared" si="14"/>
        <v>714.65</v>
      </c>
      <c r="R67" s="16">
        <f t="shared" si="11"/>
        <v>729.0958333333333</v>
      </c>
      <c r="T67" s="6">
        <f t="shared" si="10"/>
        <v>3.8671939350143109E-3</v>
      </c>
      <c r="V67" s="23">
        <f>+claims!D67</f>
        <v>6</v>
      </c>
      <c r="W67" s="23">
        <f>+claims!E67</f>
        <v>5</v>
      </c>
      <c r="X67" s="23">
        <f>+claims!F67</f>
        <v>3</v>
      </c>
      <c r="Z67" s="6">
        <f t="shared" si="12"/>
        <v>8.1947621811725348E-3</v>
      </c>
      <c r="AA67" s="6">
        <f t="shared" si="13"/>
        <v>6.6735626814374855E-3</v>
      </c>
      <c r="AB67" s="6">
        <f t="shared" si="15"/>
        <v>4.1978590918631499E-3</v>
      </c>
      <c r="AD67" s="6">
        <f t="shared" si="7"/>
        <v>5.6892441366061591E-3</v>
      </c>
    </row>
    <row r="68" spans="1:30">
      <c r="A68" t="s">
        <v>102</v>
      </c>
      <c r="B68" t="s">
        <v>103</v>
      </c>
      <c r="C68" s="76">
        <v>28</v>
      </c>
      <c r="D68" s="76">
        <v>28</v>
      </c>
      <c r="E68" s="76">
        <v>28</v>
      </c>
      <c r="F68" s="76">
        <v>29</v>
      </c>
      <c r="G68" s="40">
        <f t="shared" si="0"/>
        <v>28.25</v>
      </c>
      <c r="H68" s="76">
        <v>28.3</v>
      </c>
      <c r="I68" s="76">
        <v>29</v>
      </c>
      <c r="J68" s="76">
        <v>29</v>
      </c>
      <c r="K68" s="76">
        <v>29.3</v>
      </c>
      <c r="L68" s="40">
        <f t="shared" si="1"/>
        <v>28.9</v>
      </c>
      <c r="M68" s="76">
        <v>29.3</v>
      </c>
      <c r="N68" s="76">
        <v>27.7</v>
      </c>
      <c r="O68" s="76">
        <v>29</v>
      </c>
      <c r="P68" s="76">
        <v>31</v>
      </c>
      <c r="Q68" s="40">
        <f t="shared" si="14"/>
        <v>29.25</v>
      </c>
      <c r="R68" s="16">
        <f t="shared" si="11"/>
        <v>28.966666666666669</v>
      </c>
      <c r="T68" s="6">
        <f t="shared" si="10"/>
        <v>1.5364196656943526E-4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2"/>
        <v>0</v>
      </c>
      <c r="AA68" s="6">
        <f t="shared" si="13"/>
        <v>0</v>
      </c>
      <c r="AB68" s="6">
        <f t="shared" si="15"/>
        <v>0</v>
      </c>
      <c r="AD68" s="6">
        <f t="shared" ref="AD68:AD128" si="16">(+Z68+(AA68*2)+(AB68*3))/6</f>
        <v>0</v>
      </c>
    </row>
    <row r="69" spans="1:30">
      <c r="A69" t="s">
        <v>104</v>
      </c>
      <c r="B69" t="s">
        <v>105</v>
      </c>
      <c r="C69" s="76">
        <v>41.4</v>
      </c>
      <c r="D69" s="76">
        <v>41.6</v>
      </c>
      <c r="E69" s="76">
        <v>42.4</v>
      </c>
      <c r="F69" s="76">
        <v>41.8</v>
      </c>
      <c r="G69" s="40">
        <f t="shared" ref="G69:G90" si="17">AVERAGE(C69:F69)</f>
        <v>41.8</v>
      </c>
      <c r="H69" s="76">
        <v>41.1</v>
      </c>
      <c r="I69" s="76">
        <v>41.5</v>
      </c>
      <c r="J69" s="76">
        <v>42</v>
      </c>
      <c r="K69" s="76">
        <v>41.2</v>
      </c>
      <c r="L69" s="40">
        <f t="shared" ref="L69:L80" si="18">AVERAGE(H69:K69)</f>
        <v>41.45</v>
      </c>
      <c r="M69" s="76">
        <v>40</v>
      </c>
      <c r="N69" s="76">
        <v>41.1</v>
      </c>
      <c r="O69" s="76">
        <v>40.5</v>
      </c>
      <c r="P69" s="76">
        <v>39.6</v>
      </c>
      <c r="Q69" s="40">
        <f t="shared" si="14"/>
        <v>40.299999999999997</v>
      </c>
      <c r="R69" s="16">
        <f t="shared" si="11"/>
        <v>40.93333333333333</v>
      </c>
      <c r="T69" s="6">
        <f t="shared" ref="T69:T98" si="19">+R69/$R$264</f>
        <v>2.171143094905253E-4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2"/>
        <v>0</v>
      </c>
      <c r="AA69" s="6">
        <f t="shared" si="13"/>
        <v>0</v>
      </c>
      <c r="AB69" s="6">
        <f t="shared" si="15"/>
        <v>0</v>
      </c>
      <c r="AD69" s="6">
        <f t="shared" si="16"/>
        <v>0</v>
      </c>
    </row>
    <row r="70" spans="1:30">
      <c r="A70" t="s">
        <v>106</v>
      </c>
      <c r="B70" t="s">
        <v>107</v>
      </c>
      <c r="C70" s="76">
        <v>576.5</v>
      </c>
      <c r="D70" s="76">
        <v>583</v>
      </c>
      <c r="E70" s="76">
        <v>591</v>
      </c>
      <c r="F70" s="76">
        <v>597.9</v>
      </c>
      <c r="G70" s="40">
        <f t="shared" si="17"/>
        <v>587.1</v>
      </c>
      <c r="H70" s="76">
        <v>597.4</v>
      </c>
      <c r="I70" s="76">
        <v>604.29999999999995</v>
      </c>
      <c r="J70" s="76">
        <v>611.29999999999995</v>
      </c>
      <c r="K70" s="76">
        <v>606</v>
      </c>
      <c r="L70" s="40">
        <f t="shared" si="18"/>
        <v>604.75</v>
      </c>
      <c r="M70" s="76">
        <v>612</v>
      </c>
      <c r="N70" s="76">
        <v>620</v>
      </c>
      <c r="O70" s="76">
        <v>613</v>
      </c>
      <c r="P70" s="76">
        <v>630</v>
      </c>
      <c r="Q70" s="40">
        <f t="shared" si="14"/>
        <v>618.75</v>
      </c>
      <c r="R70" s="16">
        <f t="shared" si="11"/>
        <v>608.80833333333328</v>
      </c>
      <c r="T70" s="6">
        <f t="shared" si="19"/>
        <v>3.2291775465084094E-3</v>
      </c>
      <c r="V70" s="23">
        <f>+claims!D70</f>
        <v>14</v>
      </c>
      <c r="W70" s="23">
        <f>+claims!E70</f>
        <v>13</v>
      </c>
      <c r="X70" s="23">
        <f>+claims!F70</f>
        <v>29</v>
      </c>
      <c r="Z70" s="6">
        <f t="shared" si="12"/>
        <v>2.3846022824050416E-2</v>
      </c>
      <c r="AA70" s="6">
        <f t="shared" si="13"/>
        <v>2.1496486151302192E-2</v>
      </c>
      <c r="AB70" s="6">
        <f t="shared" si="15"/>
        <v>4.6868686868686872E-2</v>
      </c>
      <c r="AD70" s="6">
        <f t="shared" si="16"/>
        <v>3.457417595545257E-2</v>
      </c>
    </row>
    <row r="71" spans="1:30">
      <c r="A71" t="s">
        <v>108</v>
      </c>
      <c r="B71" t="s">
        <v>109</v>
      </c>
      <c r="C71" s="76">
        <v>18</v>
      </c>
      <c r="D71" s="76">
        <v>18</v>
      </c>
      <c r="E71" s="76">
        <v>19</v>
      </c>
      <c r="F71" s="76">
        <v>19</v>
      </c>
      <c r="G71" s="40">
        <f t="shared" si="17"/>
        <v>18.5</v>
      </c>
      <c r="H71" s="76">
        <v>19</v>
      </c>
      <c r="I71" s="76">
        <v>17</v>
      </c>
      <c r="J71" s="76">
        <v>19</v>
      </c>
      <c r="K71" s="76">
        <v>19</v>
      </c>
      <c r="L71" s="40">
        <f t="shared" si="18"/>
        <v>18.5</v>
      </c>
      <c r="M71" s="76">
        <v>19</v>
      </c>
      <c r="N71" s="76">
        <v>19</v>
      </c>
      <c r="O71" s="76">
        <v>19</v>
      </c>
      <c r="P71" s="76">
        <v>19</v>
      </c>
      <c r="Q71" s="40">
        <f t="shared" si="14"/>
        <v>19</v>
      </c>
      <c r="R71" s="16">
        <f t="shared" si="11"/>
        <v>18.75</v>
      </c>
      <c r="T71" s="6">
        <f t="shared" si="19"/>
        <v>9.9451790788616034E-5</v>
      </c>
      <c r="V71" s="23">
        <f>+claims!D71</f>
        <v>0</v>
      </c>
      <c r="W71" s="23">
        <f>+claims!E71</f>
        <v>1</v>
      </c>
      <c r="X71" s="23">
        <f>+claims!F71</f>
        <v>0</v>
      </c>
      <c r="Z71" s="6">
        <f t="shared" si="12"/>
        <v>0</v>
      </c>
      <c r="AA71" s="6">
        <f t="shared" si="13"/>
        <v>0.01</v>
      </c>
      <c r="AB71" s="6">
        <f t="shared" si="15"/>
        <v>0</v>
      </c>
      <c r="AD71" s="6">
        <f t="shared" si="16"/>
        <v>3.3333333333333335E-3</v>
      </c>
    </row>
    <row r="72" spans="1:30">
      <c r="A72" t="s">
        <v>110</v>
      </c>
      <c r="B72" t="s">
        <v>111</v>
      </c>
      <c r="C72" s="76">
        <v>29</v>
      </c>
      <c r="D72" s="76">
        <v>30</v>
      </c>
      <c r="E72" s="76">
        <v>31</v>
      </c>
      <c r="F72" s="76">
        <v>31</v>
      </c>
      <c r="G72" s="40">
        <f t="shared" si="17"/>
        <v>30.25</v>
      </c>
      <c r="H72" s="76">
        <v>31</v>
      </c>
      <c r="I72" s="76">
        <v>31</v>
      </c>
      <c r="J72" s="76">
        <v>32</v>
      </c>
      <c r="K72" s="76">
        <v>32</v>
      </c>
      <c r="L72" s="40">
        <f t="shared" si="18"/>
        <v>31.5</v>
      </c>
      <c r="M72" s="76">
        <v>30</v>
      </c>
      <c r="N72" s="76">
        <v>31</v>
      </c>
      <c r="O72" s="76">
        <v>31</v>
      </c>
      <c r="P72" s="76">
        <v>32</v>
      </c>
      <c r="Q72" s="40">
        <f t="shared" si="14"/>
        <v>31</v>
      </c>
      <c r="R72" s="16">
        <f t="shared" si="11"/>
        <v>31.041666666666668</v>
      </c>
      <c r="T72" s="6">
        <f t="shared" si="19"/>
        <v>1.6464796475004211E-4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2"/>
        <v>0</v>
      </c>
      <c r="AA72" s="6">
        <f t="shared" si="13"/>
        <v>0</v>
      </c>
      <c r="AB72" s="6">
        <f t="shared" si="15"/>
        <v>0</v>
      </c>
      <c r="AD72" s="6">
        <f t="shared" si="16"/>
        <v>0</v>
      </c>
    </row>
    <row r="73" spans="1:30">
      <c r="A73" t="s">
        <v>112</v>
      </c>
      <c r="B73" t="s">
        <v>113</v>
      </c>
      <c r="C73" s="76">
        <v>4</v>
      </c>
      <c r="D73" s="76">
        <v>4.3</v>
      </c>
      <c r="E73" s="76">
        <v>5</v>
      </c>
      <c r="F73" s="76">
        <v>5</v>
      </c>
      <c r="G73" s="40">
        <f t="shared" si="17"/>
        <v>4.5750000000000002</v>
      </c>
      <c r="H73" s="76">
        <v>5</v>
      </c>
      <c r="I73" s="76">
        <v>5</v>
      </c>
      <c r="J73" s="76">
        <v>5</v>
      </c>
      <c r="K73" s="76">
        <v>5</v>
      </c>
      <c r="L73" s="40">
        <f t="shared" si="18"/>
        <v>5</v>
      </c>
      <c r="M73" s="76">
        <v>5</v>
      </c>
      <c r="N73" s="76">
        <v>5.5</v>
      </c>
      <c r="O73" s="76">
        <v>5.5</v>
      </c>
      <c r="P73" s="76">
        <v>5.5</v>
      </c>
      <c r="Q73" s="40">
        <f t="shared" si="14"/>
        <v>5.375</v>
      </c>
      <c r="R73" s="16">
        <f t="shared" si="11"/>
        <v>5.1166666666666663</v>
      </c>
      <c r="T73" s="6">
        <f t="shared" si="19"/>
        <v>2.7139288686315662E-5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2"/>
        <v>0</v>
      </c>
      <c r="AA73" s="6">
        <f t="shared" si="13"/>
        <v>0</v>
      </c>
      <c r="AB73" s="6">
        <f t="shared" si="15"/>
        <v>0</v>
      </c>
      <c r="AD73" s="6">
        <f t="shared" si="16"/>
        <v>0</v>
      </c>
    </row>
    <row r="74" spans="1:30">
      <c r="A74" t="s">
        <v>114</v>
      </c>
      <c r="B74" t="s">
        <v>115</v>
      </c>
      <c r="C74" s="76">
        <v>74.599999999999994</v>
      </c>
      <c r="D74" s="76">
        <v>76.900000000000006</v>
      </c>
      <c r="E74" s="76">
        <v>86.1</v>
      </c>
      <c r="F74" s="76">
        <v>86.2</v>
      </c>
      <c r="G74" s="40">
        <f t="shared" si="17"/>
        <v>80.95</v>
      </c>
      <c r="H74" s="76">
        <v>82.8</v>
      </c>
      <c r="I74" s="76">
        <v>88.9</v>
      </c>
      <c r="J74" s="76">
        <v>86.9</v>
      </c>
      <c r="K74" s="76">
        <v>87.1</v>
      </c>
      <c r="L74" s="40">
        <f t="shared" si="18"/>
        <v>86.425000000000011</v>
      </c>
      <c r="M74" s="76">
        <v>83.1</v>
      </c>
      <c r="N74" s="76">
        <v>81</v>
      </c>
      <c r="O74" s="76">
        <v>83.9</v>
      </c>
      <c r="P74" s="76">
        <v>88.8</v>
      </c>
      <c r="Q74" s="40">
        <f t="shared" si="14"/>
        <v>84.2</v>
      </c>
      <c r="R74" s="16">
        <f t="shared" si="11"/>
        <v>84.4</v>
      </c>
      <c r="T74" s="6">
        <f t="shared" si="19"/>
        <v>4.4766566093649036E-4</v>
      </c>
      <c r="V74" s="23">
        <f>+claims!D74</f>
        <v>0</v>
      </c>
      <c r="W74" s="23">
        <f>+claims!E74</f>
        <v>0</v>
      </c>
      <c r="X74" s="23">
        <f>+claims!F74</f>
        <v>0</v>
      </c>
      <c r="Z74" s="6">
        <f t="shared" si="12"/>
        <v>0</v>
      </c>
      <c r="AA74" s="6">
        <f t="shared" si="13"/>
        <v>0</v>
      </c>
      <c r="AB74" s="6">
        <f t="shared" si="15"/>
        <v>0</v>
      </c>
      <c r="AD74" s="6">
        <f t="shared" si="16"/>
        <v>0</v>
      </c>
    </row>
    <row r="75" spans="1:30">
      <c r="A75" t="s">
        <v>116</v>
      </c>
      <c r="B75" t="s">
        <v>117</v>
      </c>
      <c r="C75" s="76">
        <v>24</v>
      </c>
      <c r="D75" s="76">
        <v>23</v>
      </c>
      <c r="E75" s="76">
        <v>24</v>
      </c>
      <c r="F75" s="76">
        <v>26</v>
      </c>
      <c r="G75" s="40">
        <f t="shared" si="17"/>
        <v>24.25</v>
      </c>
      <c r="H75" s="76">
        <v>25</v>
      </c>
      <c r="I75" s="76">
        <v>24</v>
      </c>
      <c r="J75" s="76">
        <v>25</v>
      </c>
      <c r="K75" s="76">
        <v>25</v>
      </c>
      <c r="L75" s="40">
        <f t="shared" si="18"/>
        <v>24.75</v>
      </c>
      <c r="M75" s="76">
        <v>28</v>
      </c>
      <c r="N75" s="76">
        <v>26</v>
      </c>
      <c r="O75" s="76">
        <v>28</v>
      </c>
      <c r="P75" s="76">
        <v>28</v>
      </c>
      <c r="Q75" s="40">
        <f t="shared" si="14"/>
        <v>27.5</v>
      </c>
      <c r="R75" s="16">
        <f t="shared" si="11"/>
        <v>26.041666666666668</v>
      </c>
      <c r="T75" s="6">
        <f t="shared" si="19"/>
        <v>1.3812748720641116E-4</v>
      </c>
      <c r="V75" s="23">
        <f>+claims!D75</f>
        <v>0</v>
      </c>
      <c r="W75" s="23">
        <f>+claims!E75</f>
        <v>0</v>
      </c>
      <c r="X75" s="23">
        <f>+claims!F75</f>
        <v>1</v>
      </c>
      <c r="Z75" s="6">
        <f t="shared" si="12"/>
        <v>0</v>
      </c>
      <c r="AA75" s="6">
        <f t="shared" si="13"/>
        <v>0</v>
      </c>
      <c r="AB75" s="6">
        <f t="shared" si="15"/>
        <v>0.01</v>
      </c>
      <c r="AD75" s="6">
        <f t="shared" si="16"/>
        <v>5.0000000000000001E-3</v>
      </c>
    </row>
    <row r="76" spans="1:30">
      <c r="A76" t="s">
        <v>118</v>
      </c>
      <c r="B76" t="s">
        <v>119</v>
      </c>
      <c r="C76" s="76">
        <v>161.80000000000001</v>
      </c>
      <c r="D76" s="76">
        <v>166.1</v>
      </c>
      <c r="E76" s="76">
        <v>167.4</v>
      </c>
      <c r="F76" s="76">
        <v>171.9</v>
      </c>
      <c r="G76" s="40">
        <f t="shared" si="17"/>
        <v>166.79999999999998</v>
      </c>
      <c r="H76" s="76">
        <v>183.3</v>
      </c>
      <c r="I76" s="76">
        <v>188.7</v>
      </c>
      <c r="J76" s="76">
        <v>190.5</v>
      </c>
      <c r="K76" s="76">
        <v>192.3</v>
      </c>
      <c r="L76" s="40">
        <f t="shared" si="18"/>
        <v>188.7</v>
      </c>
      <c r="M76" s="76">
        <v>192.5</v>
      </c>
      <c r="N76" s="76">
        <v>194.3</v>
      </c>
      <c r="O76" s="76">
        <v>193.9</v>
      </c>
      <c r="P76" s="76">
        <v>192.6</v>
      </c>
      <c r="Q76" s="40">
        <f t="shared" si="14"/>
        <v>193.32500000000002</v>
      </c>
      <c r="R76" s="16">
        <f t="shared" si="11"/>
        <v>187.36249999999998</v>
      </c>
      <c r="T76" s="6">
        <f t="shared" si="19"/>
        <v>9.9378859475371048E-4</v>
      </c>
      <c r="V76" s="23">
        <f>+claims!D76</f>
        <v>1</v>
      </c>
      <c r="W76" s="23">
        <f>+claims!E76</f>
        <v>0</v>
      </c>
      <c r="X76" s="23">
        <f>+claims!F76</f>
        <v>1</v>
      </c>
      <c r="Z76" s="6">
        <f t="shared" si="12"/>
        <v>5.9952038369304565E-3</v>
      </c>
      <c r="AA76" s="6">
        <f t="shared" si="13"/>
        <v>0</v>
      </c>
      <c r="AB76" s="6">
        <f t="shared" si="15"/>
        <v>5.1726367515841191E-3</v>
      </c>
      <c r="AD76" s="6">
        <f t="shared" si="16"/>
        <v>3.5855190152804688E-3</v>
      </c>
    </row>
    <row r="77" spans="1:30">
      <c r="A77" t="s">
        <v>120</v>
      </c>
      <c r="B77" t="s">
        <v>121</v>
      </c>
      <c r="C77" s="76">
        <v>15.8</v>
      </c>
      <c r="D77" s="76">
        <v>17.600000000000001</v>
      </c>
      <c r="E77" s="76">
        <v>17.2</v>
      </c>
      <c r="F77" s="76">
        <v>18</v>
      </c>
      <c r="G77" s="40">
        <f t="shared" si="17"/>
        <v>17.150000000000002</v>
      </c>
      <c r="H77" s="76">
        <v>18.8</v>
      </c>
      <c r="I77" s="76">
        <v>17.8</v>
      </c>
      <c r="J77" s="76">
        <v>17</v>
      </c>
      <c r="K77" s="76">
        <v>18</v>
      </c>
      <c r="L77" s="40">
        <f t="shared" si="18"/>
        <v>17.899999999999999</v>
      </c>
      <c r="M77" s="76">
        <v>18</v>
      </c>
      <c r="N77" s="76">
        <v>18</v>
      </c>
      <c r="O77" s="76">
        <v>16.3</v>
      </c>
      <c r="P77" s="76">
        <v>16.100000000000001</v>
      </c>
      <c r="Q77" s="40">
        <f t="shared" si="14"/>
        <v>17.100000000000001</v>
      </c>
      <c r="R77" s="16">
        <f t="shared" si="11"/>
        <v>17.375</v>
      </c>
      <c r="T77" s="6">
        <f t="shared" si="19"/>
        <v>9.2158659464117531E-5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2"/>
        <v>0</v>
      </c>
      <c r="AA77" s="6">
        <f t="shared" si="13"/>
        <v>0</v>
      </c>
      <c r="AB77" s="6">
        <f t="shared" si="15"/>
        <v>0</v>
      </c>
      <c r="AD77" s="6">
        <f t="shared" si="16"/>
        <v>0</v>
      </c>
    </row>
    <row r="78" spans="1:30">
      <c r="A78" t="s">
        <v>122</v>
      </c>
      <c r="B78" t="s">
        <v>123</v>
      </c>
      <c r="C78" s="76">
        <v>49.7</v>
      </c>
      <c r="D78" s="76">
        <v>44.8</v>
      </c>
      <c r="E78" s="76">
        <v>47.4</v>
      </c>
      <c r="F78" s="76">
        <v>50</v>
      </c>
      <c r="G78" s="40">
        <f t="shared" si="17"/>
        <v>47.975000000000001</v>
      </c>
      <c r="H78" s="76">
        <v>50.1</v>
      </c>
      <c r="I78" s="76">
        <v>44.1</v>
      </c>
      <c r="J78" s="76">
        <v>46</v>
      </c>
      <c r="K78" s="76">
        <v>49.7</v>
      </c>
      <c r="L78" s="40">
        <f t="shared" si="18"/>
        <v>47.474999999999994</v>
      </c>
      <c r="M78" s="76">
        <v>48.2</v>
      </c>
      <c r="N78" s="76">
        <v>44</v>
      </c>
      <c r="O78" s="76">
        <v>42.6</v>
      </c>
      <c r="P78" s="76">
        <v>42</v>
      </c>
      <c r="Q78" s="40">
        <f t="shared" si="14"/>
        <v>44.2</v>
      </c>
      <c r="R78" s="16">
        <f t="shared" si="11"/>
        <v>45.920833333333327</v>
      </c>
      <c r="T78" s="6">
        <f t="shared" si="19"/>
        <v>2.4356848584029716E-4</v>
      </c>
      <c r="V78" s="23">
        <f>+claims!D78</f>
        <v>0</v>
      </c>
      <c r="W78" s="23">
        <f>+claims!E78</f>
        <v>0</v>
      </c>
      <c r="X78" s="23">
        <f>+claims!F78</f>
        <v>0</v>
      </c>
      <c r="Z78" s="6">
        <f t="shared" si="12"/>
        <v>0</v>
      </c>
      <c r="AA78" s="6">
        <f t="shared" si="13"/>
        <v>0</v>
      </c>
      <c r="AB78" s="6">
        <f t="shared" si="15"/>
        <v>0</v>
      </c>
      <c r="AD78" s="6">
        <f t="shared" si="16"/>
        <v>0</v>
      </c>
    </row>
    <row r="79" spans="1:30">
      <c r="A79" t="s">
        <v>124</v>
      </c>
      <c r="B79" t="s">
        <v>499</v>
      </c>
      <c r="C79" s="76">
        <v>21</v>
      </c>
      <c r="D79" s="76">
        <v>24</v>
      </c>
      <c r="E79" s="76">
        <v>24</v>
      </c>
      <c r="F79" s="76">
        <v>25</v>
      </c>
      <c r="G79" s="40">
        <f t="shared" si="17"/>
        <v>23.5</v>
      </c>
      <c r="H79" s="76">
        <v>25</v>
      </c>
      <c r="I79" s="76">
        <v>25</v>
      </c>
      <c r="J79" s="76">
        <v>25</v>
      </c>
      <c r="K79" s="76">
        <v>25</v>
      </c>
      <c r="L79" s="40">
        <f t="shared" si="18"/>
        <v>25</v>
      </c>
      <c r="M79" s="76">
        <v>23</v>
      </c>
      <c r="N79" s="76">
        <v>23</v>
      </c>
      <c r="O79" s="76">
        <v>25</v>
      </c>
      <c r="P79" s="76">
        <v>24</v>
      </c>
      <c r="Q79" s="40">
        <f t="shared" si="14"/>
        <v>23.75</v>
      </c>
      <c r="R79" s="16">
        <f t="shared" si="11"/>
        <v>24.125</v>
      </c>
      <c r="T79" s="6">
        <f t="shared" si="19"/>
        <v>1.279613041480193E-4</v>
      </c>
      <c r="V79" s="23">
        <f>+claims!D79</f>
        <v>0</v>
      </c>
      <c r="W79" s="23">
        <f>+claims!E79</f>
        <v>0</v>
      </c>
      <c r="X79" s="23">
        <f>+claims!F79</f>
        <v>0</v>
      </c>
      <c r="Z79" s="6">
        <f t="shared" si="12"/>
        <v>0</v>
      </c>
      <c r="AA79" s="6">
        <f t="shared" si="13"/>
        <v>0</v>
      </c>
      <c r="AB79" s="6">
        <f t="shared" si="15"/>
        <v>0</v>
      </c>
      <c r="AD79" s="6">
        <f t="shared" si="16"/>
        <v>0</v>
      </c>
    </row>
    <row r="80" spans="1:30">
      <c r="A80" t="s">
        <v>125</v>
      </c>
      <c r="B80" t="s">
        <v>126</v>
      </c>
      <c r="C80" s="76">
        <v>110.7</v>
      </c>
      <c r="D80" s="76">
        <v>111.2</v>
      </c>
      <c r="E80" s="76">
        <v>113</v>
      </c>
      <c r="F80" s="76">
        <v>114</v>
      </c>
      <c r="G80" s="40">
        <f t="shared" si="17"/>
        <v>112.22499999999999</v>
      </c>
      <c r="H80" s="76">
        <v>115.1</v>
      </c>
      <c r="I80" s="76">
        <v>116.6</v>
      </c>
      <c r="J80" s="76">
        <v>114.8</v>
      </c>
      <c r="K80" s="76">
        <v>114.6</v>
      </c>
      <c r="L80" s="40">
        <f t="shared" si="18"/>
        <v>115.27500000000001</v>
      </c>
      <c r="M80" s="76">
        <v>114.8</v>
      </c>
      <c r="N80" s="76">
        <v>114.3</v>
      </c>
      <c r="O80" s="76">
        <v>113.4</v>
      </c>
      <c r="P80" s="76">
        <v>114.3</v>
      </c>
      <c r="Q80" s="40">
        <f t="shared" si="14"/>
        <v>114.2</v>
      </c>
      <c r="R80" s="16">
        <f t="shared" si="11"/>
        <v>114.22916666666667</v>
      </c>
      <c r="T80" s="6">
        <f t="shared" si="19"/>
        <v>6.0588240988220193E-4</v>
      </c>
      <c r="V80" s="23">
        <f>+claims!D80</f>
        <v>3</v>
      </c>
      <c r="W80" s="23">
        <f>+claims!E80</f>
        <v>3</v>
      </c>
      <c r="X80" s="23">
        <f>+claims!F80</f>
        <v>8</v>
      </c>
      <c r="Z80" s="6">
        <f t="shared" si="12"/>
        <v>2.6732011583871687E-2</v>
      </c>
      <c r="AA80" s="6">
        <f t="shared" si="13"/>
        <v>2.6024723487312947E-2</v>
      </c>
      <c r="AB80" s="6">
        <f t="shared" si="15"/>
        <v>7.0052539404553416E-2</v>
      </c>
      <c r="AD80" s="6">
        <f t="shared" si="16"/>
        <v>4.8156512795359631E-2</v>
      </c>
    </row>
    <row r="81" spans="1:30">
      <c r="A81" t="s">
        <v>482</v>
      </c>
      <c r="B81" t="s">
        <v>535</v>
      </c>
      <c r="C81" s="76">
        <v>8</v>
      </c>
      <c r="D81" s="76">
        <v>8</v>
      </c>
      <c r="E81" s="76">
        <v>7</v>
      </c>
      <c r="F81" s="76">
        <v>7</v>
      </c>
      <c r="G81" s="40">
        <f t="shared" si="17"/>
        <v>7.5</v>
      </c>
      <c r="H81" s="76">
        <v>8</v>
      </c>
      <c r="I81" s="76">
        <v>7</v>
      </c>
      <c r="J81" s="76">
        <v>7</v>
      </c>
      <c r="K81" s="76">
        <v>7</v>
      </c>
      <c r="L81" s="40">
        <f>AVERAGE(H81:K81)</f>
        <v>7.25</v>
      </c>
      <c r="M81" s="76">
        <v>7</v>
      </c>
      <c r="N81" s="76">
        <v>7</v>
      </c>
      <c r="O81" s="76">
        <v>7</v>
      </c>
      <c r="P81" s="76">
        <v>7</v>
      </c>
      <c r="Q81" s="40">
        <f>AVERAGE(M81:P81)</f>
        <v>7</v>
      </c>
      <c r="R81" s="16">
        <f>IF(G81&gt;0,(+G81+(L81*2)+(Q81*3))/6,IF(L81&gt;0,((L81*2)+(Q81*3))/5,Q81))</f>
        <v>7.166666666666667</v>
      </c>
      <c r="T81" s="6">
        <f t="shared" si="19"/>
        <v>3.8012684479204356E-5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6"/>
        <v>0</v>
      </c>
    </row>
    <row r="82" spans="1:30">
      <c r="A82" t="s">
        <v>127</v>
      </c>
      <c r="B82" t="s">
        <v>493</v>
      </c>
      <c r="C82" s="76">
        <v>154.19999999999999</v>
      </c>
      <c r="D82" s="76">
        <v>159.5</v>
      </c>
      <c r="E82" s="76">
        <v>164.9</v>
      </c>
      <c r="F82" s="76">
        <v>161</v>
      </c>
      <c r="G82" s="40">
        <f t="shared" si="17"/>
        <v>159.9</v>
      </c>
      <c r="H82" s="76">
        <v>166.7</v>
      </c>
      <c r="I82" s="76">
        <v>167.7</v>
      </c>
      <c r="J82" s="76">
        <v>172.4</v>
      </c>
      <c r="K82" s="76">
        <v>171.3</v>
      </c>
      <c r="L82" s="40">
        <f t="shared" ref="L82:L90" si="20">AVERAGE(H82:K82)</f>
        <v>169.52499999999998</v>
      </c>
      <c r="M82" s="76">
        <v>174.1</v>
      </c>
      <c r="N82" s="76">
        <v>192.3</v>
      </c>
      <c r="O82" s="76">
        <v>199.4</v>
      </c>
      <c r="P82" s="76">
        <v>197.1</v>
      </c>
      <c r="Q82" s="40">
        <f t="shared" si="14"/>
        <v>190.72499999999999</v>
      </c>
      <c r="R82" s="16">
        <f t="shared" si="11"/>
        <v>178.52083333333334</v>
      </c>
      <c r="T82" s="6">
        <f t="shared" si="19"/>
        <v>9.4689155029738985E-4</v>
      </c>
      <c r="V82" s="23">
        <f>+claims!D82</f>
        <v>1</v>
      </c>
      <c r="W82" s="23">
        <f>+claims!E82</f>
        <v>0</v>
      </c>
      <c r="X82" s="23">
        <f>+claims!F82</f>
        <v>0</v>
      </c>
      <c r="Z82" s="6">
        <f t="shared" si="12"/>
        <v>6.2539086929330832E-3</v>
      </c>
      <c r="AA82" s="6">
        <f t="shared" si="13"/>
        <v>0</v>
      </c>
      <c r="AB82" s="6">
        <f t="shared" si="15"/>
        <v>0</v>
      </c>
      <c r="AD82" s="6">
        <f t="shared" si="16"/>
        <v>1.0423181154888472E-3</v>
      </c>
    </row>
    <row r="83" spans="1:30">
      <c r="A83" t="s">
        <v>128</v>
      </c>
      <c r="B83" t="s">
        <v>129</v>
      </c>
      <c r="C83" s="76">
        <v>43.5</v>
      </c>
      <c r="D83" s="76">
        <v>44.6</v>
      </c>
      <c r="E83" s="76">
        <v>47.1</v>
      </c>
      <c r="F83" s="76">
        <v>51.3</v>
      </c>
      <c r="G83" s="40">
        <f t="shared" si="17"/>
        <v>46.625</v>
      </c>
      <c r="H83" s="76">
        <v>52.5</v>
      </c>
      <c r="I83" s="76">
        <v>54</v>
      </c>
      <c r="J83" s="76">
        <v>53.7</v>
      </c>
      <c r="K83" s="76">
        <v>54.6</v>
      </c>
      <c r="L83" s="40">
        <f t="shared" si="20"/>
        <v>53.699999999999996</v>
      </c>
      <c r="M83" s="76">
        <v>54.1</v>
      </c>
      <c r="N83" s="76">
        <v>52.8</v>
      </c>
      <c r="O83" s="76">
        <v>53</v>
      </c>
      <c r="P83" s="76">
        <v>55</v>
      </c>
      <c r="Q83" s="40">
        <f t="shared" si="14"/>
        <v>53.725000000000001</v>
      </c>
      <c r="R83" s="16">
        <f t="shared" si="11"/>
        <v>52.533333333333331</v>
      </c>
      <c r="T83" s="6">
        <f t="shared" si="19"/>
        <v>2.7864181739174911E-4</v>
      </c>
      <c r="V83" s="23">
        <f>+claims!D83</f>
        <v>0</v>
      </c>
      <c r="W83" s="23">
        <f>+claims!E83</f>
        <v>0</v>
      </c>
      <c r="X83" s="23">
        <f>+claims!F83</f>
        <v>0</v>
      </c>
      <c r="Z83" s="6">
        <f t="shared" si="12"/>
        <v>0</v>
      </c>
      <c r="AA83" s="6">
        <f t="shared" si="13"/>
        <v>0</v>
      </c>
      <c r="AB83" s="6">
        <f t="shared" si="15"/>
        <v>0</v>
      </c>
      <c r="AD83" s="6">
        <f t="shared" si="16"/>
        <v>0</v>
      </c>
    </row>
    <row r="84" spans="1:30">
      <c r="A84" t="s">
        <v>130</v>
      </c>
      <c r="B84" t="s">
        <v>536</v>
      </c>
      <c r="C84" s="76">
        <v>101.8</v>
      </c>
      <c r="D84" s="76">
        <v>100.8</v>
      </c>
      <c r="E84" s="76">
        <v>107.7</v>
      </c>
      <c r="F84" s="76">
        <v>111.8</v>
      </c>
      <c r="G84" s="40">
        <f t="shared" si="17"/>
        <v>105.52500000000001</v>
      </c>
      <c r="H84" s="76">
        <v>115.1</v>
      </c>
      <c r="I84" s="76">
        <v>115.8</v>
      </c>
      <c r="J84" s="76">
        <v>117.2</v>
      </c>
      <c r="K84" s="76">
        <v>115.1</v>
      </c>
      <c r="L84" s="40">
        <f t="shared" si="20"/>
        <v>115.79999999999998</v>
      </c>
      <c r="M84" s="76">
        <v>113.2</v>
      </c>
      <c r="N84" s="76">
        <v>111.1</v>
      </c>
      <c r="O84" s="76">
        <v>113.3</v>
      </c>
      <c r="P84" s="76">
        <v>112.4</v>
      </c>
      <c r="Q84" s="40">
        <f t="shared" si="14"/>
        <v>112.5</v>
      </c>
      <c r="R84" s="16">
        <f t="shared" si="11"/>
        <v>112.4375</v>
      </c>
      <c r="T84" s="6">
        <f t="shared" si="19"/>
        <v>5.9637923876240087E-4</v>
      </c>
      <c r="V84" s="23">
        <f>+claims!D84</f>
        <v>1</v>
      </c>
      <c r="W84" s="23">
        <f>+claims!E84</f>
        <v>0</v>
      </c>
      <c r="X84" s="23">
        <f>+claims!F84</f>
        <v>1</v>
      </c>
      <c r="Z84" s="6">
        <f t="shared" si="12"/>
        <v>9.4764273868751473E-3</v>
      </c>
      <c r="AA84" s="6">
        <f t="shared" si="13"/>
        <v>0</v>
      </c>
      <c r="AB84" s="6">
        <f t="shared" si="15"/>
        <v>8.8888888888888889E-3</v>
      </c>
      <c r="AD84" s="6">
        <f t="shared" si="16"/>
        <v>6.0238490089236348E-3</v>
      </c>
    </row>
    <row r="85" spans="1:30">
      <c r="A85" t="s">
        <v>131</v>
      </c>
      <c r="B85" t="s">
        <v>132</v>
      </c>
      <c r="C85" s="76">
        <v>10</v>
      </c>
      <c r="D85" s="76">
        <v>11</v>
      </c>
      <c r="E85" s="76">
        <v>12</v>
      </c>
      <c r="F85" s="76">
        <v>14</v>
      </c>
      <c r="G85" s="40">
        <f t="shared" si="17"/>
        <v>11.75</v>
      </c>
      <c r="H85" s="76">
        <v>14</v>
      </c>
      <c r="I85" s="76">
        <v>14</v>
      </c>
      <c r="J85" s="76">
        <v>12</v>
      </c>
      <c r="K85" s="76">
        <v>14</v>
      </c>
      <c r="L85" s="40">
        <f t="shared" si="20"/>
        <v>13.5</v>
      </c>
      <c r="M85" s="76">
        <v>14</v>
      </c>
      <c r="N85" s="76">
        <v>14</v>
      </c>
      <c r="O85" s="76">
        <v>14</v>
      </c>
      <c r="P85" s="76">
        <v>11.5</v>
      </c>
      <c r="Q85" s="40">
        <f t="shared" si="14"/>
        <v>13.375</v>
      </c>
      <c r="R85" s="16">
        <f t="shared" si="11"/>
        <v>13.145833333333334</v>
      </c>
      <c r="T85" s="6">
        <f t="shared" si="19"/>
        <v>6.9726755541796352E-5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2"/>
        <v>0</v>
      </c>
      <c r="AA85" s="6">
        <f t="shared" si="13"/>
        <v>0</v>
      </c>
      <c r="AB85" s="6">
        <f t="shared" si="15"/>
        <v>0</v>
      </c>
      <c r="AD85" s="6">
        <f t="shared" si="16"/>
        <v>0</v>
      </c>
    </row>
    <row r="86" spans="1:30">
      <c r="A86" t="s">
        <v>133</v>
      </c>
      <c r="B86" t="s">
        <v>134</v>
      </c>
      <c r="C86" s="76">
        <v>11</v>
      </c>
      <c r="D86" s="76">
        <v>11.1</v>
      </c>
      <c r="E86" s="76">
        <v>11.5</v>
      </c>
      <c r="F86" s="76">
        <v>11.6</v>
      </c>
      <c r="G86" s="40">
        <f t="shared" si="17"/>
        <v>11.3</v>
      </c>
      <c r="H86" s="76">
        <v>12</v>
      </c>
      <c r="I86" s="76">
        <v>12</v>
      </c>
      <c r="J86" s="76">
        <v>12</v>
      </c>
      <c r="K86" s="76">
        <v>11.3</v>
      </c>
      <c r="L86" s="40">
        <f t="shared" si="20"/>
        <v>11.824999999999999</v>
      </c>
      <c r="M86" s="76">
        <v>11.6</v>
      </c>
      <c r="N86" s="76">
        <v>11.4</v>
      </c>
      <c r="O86" s="76">
        <v>12</v>
      </c>
      <c r="P86" s="76">
        <v>12</v>
      </c>
      <c r="Q86" s="40">
        <f t="shared" si="14"/>
        <v>11.75</v>
      </c>
      <c r="R86" s="16">
        <f t="shared" si="11"/>
        <v>11.700000000000001</v>
      </c>
      <c r="T86" s="6">
        <f t="shared" si="19"/>
        <v>6.205791745209641E-5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2"/>
        <v>0</v>
      </c>
      <c r="AA86" s="6">
        <f t="shared" si="13"/>
        <v>0</v>
      </c>
      <c r="AB86" s="6">
        <f t="shared" si="15"/>
        <v>0</v>
      </c>
      <c r="AD86" s="6">
        <f t="shared" si="16"/>
        <v>0</v>
      </c>
    </row>
    <row r="87" spans="1:30">
      <c r="A87" t="s">
        <v>135</v>
      </c>
      <c r="B87" t="s">
        <v>136</v>
      </c>
      <c r="C87" s="76">
        <v>6.5</v>
      </c>
      <c r="D87" s="76">
        <v>5.5</v>
      </c>
      <c r="E87" s="76">
        <v>5.6</v>
      </c>
      <c r="F87" s="76">
        <v>6.2</v>
      </c>
      <c r="G87" s="40">
        <f t="shared" si="17"/>
        <v>5.95</v>
      </c>
      <c r="H87" s="76">
        <v>6.5</v>
      </c>
      <c r="I87" s="76">
        <v>6.5</v>
      </c>
      <c r="J87" s="76">
        <v>6.5</v>
      </c>
      <c r="K87" s="76">
        <v>6.5</v>
      </c>
      <c r="L87" s="40">
        <f t="shared" si="20"/>
        <v>6.5</v>
      </c>
      <c r="M87" s="76">
        <v>6.5</v>
      </c>
      <c r="N87" s="76">
        <v>6.5</v>
      </c>
      <c r="O87" s="76">
        <v>7</v>
      </c>
      <c r="P87" s="76">
        <v>7</v>
      </c>
      <c r="Q87" s="40">
        <f t="shared" si="14"/>
        <v>6.75</v>
      </c>
      <c r="R87" s="16">
        <f t="shared" si="11"/>
        <v>6.5333333333333341</v>
      </c>
      <c r="T87" s="6">
        <f t="shared" si="19"/>
        <v>3.4653423990344436E-5</v>
      </c>
      <c r="V87" s="23">
        <f>+claims!D87</f>
        <v>0</v>
      </c>
      <c r="W87" s="23">
        <f>+claims!E87</f>
        <v>0</v>
      </c>
      <c r="X87" s="23">
        <f>+claims!F87</f>
        <v>0</v>
      </c>
      <c r="Z87" s="6">
        <f t="shared" si="12"/>
        <v>0</v>
      </c>
      <c r="AA87" s="6">
        <f t="shared" si="13"/>
        <v>0</v>
      </c>
      <c r="AB87" s="6">
        <f t="shared" si="15"/>
        <v>0</v>
      </c>
      <c r="AD87" s="6">
        <f t="shared" si="16"/>
        <v>0</v>
      </c>
    </row>
    <row r="88" spans="1:30">
      <c r="A88" t="s">
        <v>137</v>
      </c>
      <c r="B88" t="s">
        <v>138</v>
      </c>
      <c r="C88" s="76">
        <v>73.900000000000006</v>
      </c>
      <c r="D88" s="76">
        <v>73.7</v>
      </c>
      <c r="E88" s="76">
        <v>79.599999999999994</v>
      </c>
      <c r="F88" s="76">
        <v>85.8</v>
      </c>
      <c r="G88" s="40">
        <f t="shared" si="17"/>
        <v>78.25</v>
      </c>
      <c r="H88" s="76">
        <v>86.7</v>
      </c>
      <c r="I88" s="76">
        <v>87.5</v>
      </c>
      <c r="J88" s="76">
        <v>88.2</v>
      </c>
      <c r="K88" s="76">
        <v>90.6</v>
      </c>
      <c r="L88" s="40">
        <f t="shared" si="20"/>
        <v>88.25</v>
      </c>
      <c r="M88" s="76">
        <v>91.1</v>
      </c>
      <c r="N88" s="76">
        <v>90.5</v>
      </c>
      <c r="O88" s="76">
        <v>86.7</v>
      </c>
      <c r="P88" s="76">
        <v>91.8</v>
      </c>
      <c r="Q88" s="40">
        <f t="shared" si="14"/>
        <v>90.025000000000006</v>
      </c>
      <c r="R88" s="16">
        <f t="shared" si="11"/>
        <v>87.470833333333346</v>
      </c>
      <c r="T88" s="6">
        <f t="shared" si="19"/>
        <v>4.6395365422787041E-4</v>
      </c>
      <c r="V88" s="23">
        <f>+claims!D88</f>
        <v>1</v>
      </c>
      <c r="W88" s="23">
        <f>+claims!E88</f>
        <v>2</v>
      </c>
      <c r="X88" s="23">
        <f>+claims!F88</f>
        <v>0</v>
      </c>
      <c r="Z88" s="6">
        <f t="shared" si="12"/>
        <v>0.01</v>
      </c>
      <c r="AA88" s="6">
        <f t="shared" si="13"/>
        <v>0.02</v>
      </c>
      <c r="AB88" s="6">
        <f t="shared" si="15"/>
        <v>0</v>
      </c>
      <c r="AD88" s="6">
        <f t="shared" si="16"/>
        <v>8.3333333333333332E-3</v>
      </c>
    </row>
    <row r="89" spans="1:30">
      <c r="A89" t="s">
        <v>139</v>
      </c>
      <c r="B89" t="s">
        <v>140</v>
      </c>
      <c r="C89" s="76">
        <v>12.7</v>
      </c>
      <c r="D89" s="76">
        <v>12.6</v>
      </c>
      <c r="E89" s="76">
        <v>12.6</v>
      </c>
      <c r="F89" s="76">
        <v>13.5</v>
      </c>
      <c r="G89" s="40">
        <f t="shared" si="17"/>
        <v>12.85</v>
      </c>
      <c r="H89" s="76">
        <v>13</v>
      </c>
      <c r="I89" s="76">
        <v>12.5</v>
      </c>
      <c r="J89" s="76">
        <v>13</v>
      </c>
      <c r="K89" s="76">
        <v>13.3</v>
      </c>
      <c r="L89" s="40">
        <f t="shared" si="20"/>
        <v>12.95</v>
      </c>
      <c r="M89" s="76">
        <v>13.3</v>
      </c>
      <c r="N89" s="76">
        <v>12.7</v>
      </c>
      <c r="O89" s="76">
        <v>12.9</v>
      </c>
      <c r="P89" s="76">
        <v>12.9</v>
      </c>
      <c r="Q89" s="40">
        <f t="shared" si="14"/>
        <v>12.95</v>
      </c>
      <c r="R89" s="16">
        <f t="shared" si="11"/>
        <v>12.933333333333332</v>
      </c>
      <c r="T89" s="6">
        <f t="shared" si="19"/>
        <v>6.8599635246192032E-5</v>
      </c>
      <c r="V89" s="23">
        <f>+claims!D89</f>
        <v>0</v>
      </c>
      <c r="W89" s="23">
        <f>+claims!E89</f>
        <v>0</v>
      </c>
      <c r="X89" s="23">
        <f>+claims!F89</f>
        <v>0</v>
      </c>
      <c r="Z89" s="6">
        <f t="shared" si="12"/>
        <v>0</v>
      </c>
      <c r="AA89" s="6">
        <f t="shared" si="13"/>
        <v>0</v>
      </c>
      <c r="AB89" s="6">
        <f t="shared" si="15"/>
        <v>0</v>
      </c>
      <c r="AD89" s="6">
        <f t="shared" si="16"/>
        <v>0</v>
      </c>
    </row>
    <row r="90" spans="1:30">
      <c r="A90" s="50" t="s">
        <v>141</v>
      </c>
      <c r="B90" s="50" t="s">
        <v>142</v>
      </c>
      <c r="C90" s="77">
        <f>11944.7+2876.5+15745.5+654.312+10125.2</f>
        <v>41346.212</v>
      </c>
      <c r="D90" s="77">
        <f>12019.7+2874.3+15780.5+680.448+10126.05</f>
        <v>41480.998</v>
      </c>
      <c r="E90" s="77">
        <f>12019.3+2916.1+15661.9+700.506+10170.25</f>
        <v>41468.055999999997</v>
      </c>
      <c r="F90" s="77">
        <f>12002.6+2908.8+15542.6+707.724+10177.05</f>
        <v>41338.773999999998</v>
      </c>
      <c r="G90" s="40">
        <f t="shared" si="17"/>
        <v>41408.509999999995</v>
      </c>
      <c r="H90" s="77">
        <f>11962.8+2903.9+15436.3+708.492+10177.05</f>
        <v>41188.542000000001</v>
      </c>
      <c r="I90" s="77">
        <f>12028.6+2886.4+15409.6+705.582+10170.25</f>
        <v>41200.432000000001</v>
      </c>
      <c r="J90" s="77">
        <f>12002.4+2876.1+15397.9+703.218+10154.95</f>
        <v>41134.567999999999</v>
      </c>
      <c r="K90" s="77">
        <f>12018.5+2880.3+15329.4+700.758+10123.5</f>
        <v>41052.457999999999</v>
      </c>
      <c r="L90" s="40">
        <f t="shared" si="20"/>
        <v>41144</v>
      </c>
      <c r="M90" s="77">
        <f>11930.8+2862+15166.2+696.738+10105.65</f>
        <v>40761.387999999999</v>
      </c>
      <c r="N90" s="77">
        <f>12008.6+2851.9+15245.3+705.432+10092.05</f>
        <v>40903.281999999999</v>
      </c>
      <c r="O90" s="77">
        <f>12056.9+2859.2+15309.3+721.77+10061.45</f>
        <v>41008.619999999995</v>
      </c>
      <c r="P90" s="77">
        <f>12009.5+2873.5+15324.2+735.474+10003.65</f>
        <v>40946.324000000001</v>
      </c>
      <c r="Q90" s="40">
        <f t="shared" ref="Q90:Q93" si="21">AVERAGE(M90:P90)</f>
        <v>40904.9035</v>
      </c>
      <c r="R90" s="16">
        <f t="shared" ref="R90:R93" si="22">IF(G90&gt;0,(+G90+(L90*2)+(Q90*3))/6,IF(L90&gt;0,((L90*2)+(Q90*3))/5,Q90))</f>
        <v>41068.536749999999</v>
      </c>
      <c r="T90" s="6">
        <f t="shared" si="19"/>
        <v>0.21783144132563143</v>
      </c>
      <c r="V90" s="23">
        <f>+claims!D90</f>
        <v>2325</v>
      </c>
      <c r="W90" s="23">
        <f>+claims!E90</f>
        <v>2226</v>
      </c>
      <c r="X90" s="23">
        <f>+claims!F90</f>
        <v>2077</v>
      </c>
      <c r="Z90" s="6">
        <f t="shared" ref="Z90:Z93" si="23">IF(G90&gt;100,IF(V90&lt;1,0,+V90/G90),IF(V90&lt;1,0,+V90/100))</f>
        <v>5.6147878781438898E-2</v>
      </c>
      <c r="AA90" s="6">
        <f t="shared" ref="AA90:AA93" si="24">IF(L90&gt;100,IF(W90&lt;1,0,+W90/L90),IF(W90&lt;1,0,+W90/100))</f>
        <v>5.4102663814894029E-2</v>
      </c>
      <c r="AB90" s="6">
        <f t="shared" ref="AB90:AB93" si="25">IF(Q90&gt;100,IF(X90&lt;1,0,+X90/Q90),IF(X90&lt;1,0,+X90/100))</f>
        <v>5.0776308517632852E-2</v>
      </c>
      <c r="AD90" s="6">
        <f t="shared" si="16"/>
        <v>5.2780355327354256E-2</v>
      </c>
    </row>
    <row r="91" spans="1:30">
      <c r="A91" t="s">
        <v>143</v>
      </c>
      <c r="B91" t="s">
        <v>485</v>
      </c>
      <c r="C91" s="77">
        <v>10250.888000000001</v>
      </c>
      <c r="D91" s="77">
        <v>10660.351999999999</v>
      </c>
      <c r="E91" s="77">
        <v>10974.593999999999</v>
      </c>
      <c r="F91" s="77">
        <v>11087.675999999999</v>
      </c>
      <c r="G91" s="40">
        <f t="shared" ref="G91:G101" si="26">AVERAGE(C91:F91)</f>
        <v>10743.377499999999</v>
      </c>
      <c r="H91" s="77">
        <v>11099.708000000001</v>
      </c>
      <c r="I91" s="77">
        <v>11054.118</v>
      </c>
      <c r="J91" s="77">
        <v>11017.081999999999</v>
      </c>
      <c r="K91" s="77">
        <v>10978.541999999999</v>
      </c>
      <c r="L91" s="40">
        <f t="shared" ref="L91:L101" si="27">AVERAGE(H91:K91)</f>
        <v>11037.362499999999</v>
      </c>
      <c r="M91" s="77">
        <v>10915.561999999998</v>
      </c>
      <c r="N91" s="77">
        <v>11051.768</v>
      </c>
      <c r="O91" s="77">
        <v>11307.73</v>
      </c>
      <c r="P91" s="77">
        <v>11522.425999999999</v>
      </c>
      <c r="Q91" s="40">
        <f>AVERAGE(M91:P91)</f>
        <v>11199.371499999999</v>
      </c>
      <c r="R91" s="16">
        <f>IF(G91&gt;0,(+G91+(L91*2)+(Q91*3))/6,IF(L91&gt;0,((L91*2)+(Q91*3))/5,Q91))</f>
        <v>11069.369499999999</v>
      </c>
      <c r="T91" s="6">
        <f t="shared" si="19"/>
        <v>5.871299304938065E-2</v>
      </c>
      <c r="V91" s="23">
        <f>+claims!D91</f>
        <v>255</v>
      </c>
      <c r="W91" s="23">
        <f>+claims!E91</f>
        <v>255</v>
      </c>
      <c r="X91" s="23">
        <f>+claims!F91</f>
        <v>255</v>
      </c>
      <c r="Z91" s="6">
        <f>IF(G91&gt;100,IF(V91&lt;1,0,+V91/G91),IF(V91&lt;1,0,+V91/100))</f>
        <v>2.373555243683842E-2</v>
      </c>
      <c r="AA91" s="6">
        <f>IF(L91&gt;100,IF(W91&lt;1,0,+W91/L91),IF(W91&lt;1,0,+W91/100))</f>
        <v>2.3103345568291338E-2</v>
      </c>
      <c r="AB91" s="6">
        <f>IF(Q91&gt;100,IF(X91&lt;1,0,+X91/Q91),IF(X91&lt;1,0,+X91/100))</f>
        <v>2.2769134857255159E-2</v>
      </c>
      <c r="AD91" s="6">
        <f t="shared" si="16"/>
        <v>2.3041608024197763E-2</v>
      </c>
    </row>
    <row r="92" spans="1:30">
      <c r="A92" t="s">
        <v>144</v>
      </c>
      <c r="B92" t="s">
        <v>145</v>
      </c>
      <c r="C92" s="76">
        <v>19</v>
      </c>
      <c r="D92" s="76">
        <v>18</v>
      </c>
      <c r="E92" s="76">
        <v>18.8</v>
      </c>
      <c r="F92" s="76">
        <v>18</v>
      </c>
      <c r="G92" s="40">
        <f t="shared" si="26"/>
        <v>18.45</v>
      </c>
      <c r="H92" s="76">
        <v>19</v>
      </c>
      <c r="I92" s="76">
        <v>19</v>
      </c>
      <c r="J92" s="76">
        <v>18</v>
      </c>
      <c r="K92" s="76">
        <v>18</v>
      </c>
      <c r="L92" s="40">
        <f t="shared" si="27"/>
        <v>18.5</v>
      </c>
      <c r="M92" s="76">
        <v>20</v>
      </c>
      <c r="N92" s="76">
        <v>20</v>
      </c>
      <c r="O92" s="76">
        <v>20</v>
      </c>
      <c r="P92" s="76">
        <v>21</v>
      </c>
      <c r="Q92" s="40">
        <f>AVERAGE(M92:P92)</f>
        <v>20.25</v>
      </c>
      <c r="R92" s="16">
        <f>IF(G92&gt;0,(+G92+(L92*2)+(Q92*3))/6,IF(L92&gt;0,((L92*2)+(Q92*3))/5,Q92))</f>
        <v>19.366666666666667</v>
      </c>
      <c r="T92" s="6">
        <f t="shared" si="19"/>
        <v>1.0272264968566385E-4</v>
      </c>
      <c r="V92" s="23">
        <f>+claims!D92</f>
        <v>1</v>
      </c>
      <c r="W92" s="23">
        <f>+claims!E92</f>
        <v>3</v>
      </c>
      <c r="X92" s="23">
        <f>+claims!F92</f>
        <v>2</v>
      </c>
      <c r="Z92" s="6">
        <f>IF(G92&gt;100,IF(V92&lt;1,0,+V92/G92),IF(V92&lt;1,0,+V92/100))</f>
        <v>0.01</v>
      </c>
      <c r="AA92" s="6">
        <f>IF(L92&gt;100,IF(W92&lt;1,0,+W92/L92),IF(W92&lt;1,0,+W92/100))</f>
        <v>0.03</v>
      </c>
      <c r="AB92" s="6">
        <f>IF(Q92&gt;100,IF(X92&lt;1,0,+X92/Q92),IF(X92&lt;1,0,+X92/100))</f>
        <v>0.02</v>
      </c>
      <c r="AD92" s="6">
        <f t="shared" si="16"/>
        <v>2.1666666666666667E-2</v>
      </c>
    </row>
    <row r="93" spans="1:30">
      <c r="A93" t="s">
        <v>484</v>
      </c>
      <c r="B93" t="s">
        <v>489</v>
      </c>
      <c r="C93" s="77">
        <v>1786.8</v>
      </c>
      <c r="D93" s="77">
        <v>1786.95</v>
      </c>
      <c r="E93" s="77">
        <v>1794.75</v>
      </c>
      <c r="F93" s="77">
        <v>1795.95</v>
      </c>
      <c r="G93" s="40">
        <f t="shared" si="26"/>
        <v>1791.1125</v>
      </c>
      <c r="H93" s="77">
        <v>1795.95</v>
      </c>
      <c r="I93" s="77">
        <v>1794.75</v>
      </c>
      <c r="J93" s="77">
        <v>1792.05</v>
      </c>
      <c r="K93" s="77">
        <v>1786.5</v>
      </c>
      <c r="L93" s="40">
        <f t="shared" si="27"/>
        <v>1792.3125</v>
      </c>
      <c r="M93" s="77">
        <v>1783.35</v>
      </c>
      <c r="N93" s="77">
        <v>1780.95</v>
      </c>
      <c r="O93" s="77">
        <v>1775.55</v>
      </c>
      <c r="P93" s="77">
        <v>1765.35</v>
      </c>
      <c r="Q93" s="40">
        <f t="shared" si="21"/>
        <v>1776.3000000000002</v>
      </c>
      <c r="R93" s="16">
        <f t="shared" si="22"/>
        <v>1784.10625</v>
      </c>
      <c r="T93" s="6">
        <f t="shared" si="19"/>
        <v>9.4630699477153222E-3</v>
      </c>
      <c r="V93" s="23">
        <f>+claims!D93</f>
        <v>69</v>
      </c>
      <c r="W93" s="23">
        <f>+claims!E93</f>
        <v>54</v>
      </c>
      <c r="X93" s="23">
        <f>+claims!F93</f>
        <v>66</v>
      </c>
      <c r="Z93" s="6">
        <f t="shared" si="23"/>
        <v>3.8523543328517894E-2</v>
      </c>
      <c r="AA93" s="6">
        <f t="shared" si="24"/>
        <v>3.0128674547546815E-2</v>
      </c>
      <c r="AB93" s="6">
        <f t="shared" si="25"/>
        <v>3.7155885830096262E-2</v>
      </c>
      <c r="AD93" s="6">
        <f t="shared" si="16"/>
        <v>3.5041424985650049E-2</v>
      </c>
    </row>
    <row r="94" spans="1:30">
      <c r="A94" t="s">
        <v>506</v>
      </c>
      <c r="B94" t="s">
        <v>547</v>
      </c>
      <c r="C94" s="76">
        <v>18</v>
      </c>
      <c r="D94" s="76">
        <v>16.8</v>
      </c>
      <c r="E94" s="76">
        <v>18</v>
      </c>
      <c r="F94" s="76">
        <v>25</v>
      </c>
      <c r="G94" s="40">
        <f t="shared" si="26"/>
        <v>19.45</v>
      </c>
      <c r="H94" s="76">
        <v>24.3</v>
      </c>
      <c r="I94" s="76">
        <v>25</v>
      </c>
      <c r="J94" s="76">
        <v>25</v>
      </c>
      <c r="K94" s="76">
        <v>28</v>
      </c>
      <c r="L94" s="40">
        <f t="shared" si="27"/>
        <v>25.574999999999999</v>
      </c>
      <c r="M94" s="76">
        <v>29</v>
      </c>
      <c r="N94" s="76">
        <v>28</v>
      </c>
      <c r="O94" s="76">
        <v>28.8</v>
      </c>
      <c r="P94" s="76">
        <v>27.6</v>
      </c>
      <c r="Q94" s="40">
        <f>AVERAGE(M94:P94)</f>
        <v>28.35</v>
      </c>
      <c r="R94" s="16">
        <f>IF(G94&gt;0,(+G94+(L94*2)+(Q94*3))/6,IF(L94&gt;0,((L94*2)+(Q94*3))/5,Q94))</f>
        <v>25.941666666666666</v>
      </c>
      <c r="T94" s="6">
        <f t="shared" si="19"/>
        <v>1.3759707765553854E-4</v>
      </c>
      <c r="V94" s="23">
        <f>+claims!D94</f>
        <v>0</v>
      </c>
      <c r="W94" s="23">
        <f>+claims!E94</f>
        <v>0</v>
      </c>
      <c r="X94" s="23">
        <f>+claims!F94</f>
        <v>1</v>
      </c>
      <c r="Z94" s="6">
        <f>IF(G94&gt;100,IF(V94&lt;1,0,+V94/G94),IF(V94&lt;1,0,+V94/100))</f>
        <v>0</v>
      </c>
      <c r="AA94" s="6">
        <f>IF(L94&gt;100,IF(W94&lt;1,0,+W94/L94),IF(W94&lt;1,0,+W94/100))</f>
        <v>0</v>
      </c>
      <c r="AB94" s="6">
        <f>IF(Q94&gt;100,IF(X94&lt;1,0,+X94/Q94),IF(X94&lt;1,0,+X94/100))</f>
        <v>0.01</v>
      </c>
      <c r="AD94" s="6">
        <f t="shared" si="16"/>
        <v>5.0000000000000001E-3</v>
      </c>
    </row>
    <row r="95" spans="1:30">
      <c r="A95" t="s">
        <v>146</v>
      </c>
      <c r="B95" t="s">
        <v>147</v>
      </c>
      <c r="C95" s="76">
        <v>593</v>
      </c>
      <c r="D95" s="76">
        <v>595</v>
      </c>
      <c r="E95" s="76">
        <v>596</v>
      </c>
      <c r="F95" s="76">
        <v>618</v>
      </c>
      <c r="G95" s="40">
        <f t="shared" si="26"/>
        <v>600.5</v>
      </c>
      <c r="H95" s="76">
        <v>602</v>
      </c>
      <c r="I95" s="76">
        <v>609.70000000000005</v>
      </c>
      <c r="J95" s="76">
        <v>618.1</v>
      </c>
      <c r="K95" s="76">
        <v>623.29999999999995</v>
      </c>
      <c r="L95" s="40">
        <f t="shared" si="27"/>
        <v>613.27500000000009</v>
      </c>
      <c r="M95" s="76">
        <v>625.5</v>
      </c>
      <c r="N95" s="76">
        <v>622.79999999999995</v>
      </c>
      <c r="O95" s="76">
        <v>614.1</v>
      </c>
      <c r="P95" s="76">
        <v>615.70000000000005</v>
      </c>
      <c r="Q95" s="40">
        <f t="shared" si="14"/>
        <v>619.52500000000009</v>
      </c>
      <c r="R95" s="16">
        <f t="shared" si="11"/>
        <v>614.27083333333337</v>
      </c>
      <c r="T95" s="6">
        <f t="shared" si="19"/>
        <v>3.2581511682248268E-3</v>
      </c>
      <c r="V95" s="23">
        <f>+claims!D95</f>
        <v>18</v>
      </c>
      <c r="W95" s="23">
        <f>+claims!E95</f>
        <v>8</v>
      </c>
      <c r="X95" s="23">
        <f>+claims!F95</f>
        <v>10</v>
      </c>
      <c r="Z95" s="6">
        <f t="shared" si="12"/>
        <v>2.9975020815986679E-2</v>
      </c>
      <c r="AA95" s="6">
        <f t="shared" si="13"/>
        <v>1.3044718927071866E-2</v>
      </c>
      <c r="AB95" s="6">
        <f t="shared" si="15"/>
        <v>1.614139865219321E-2</v>
      </c>
      <c r="AD95" s="6">
        <f t="shared" si="16"/>
        <v>1.741477577111834E-2</v>
      </c>
    </row>
    <row r="96" spans="1:30">
      <c r="A96" t="s">
        <v>148</v>
      </c>
      <c r="B96" t="s">
        <v>149</v>
      </c>
      <c r="C96" s="76">
        <v>138</v>
      </c>
      <c r="D96" s="76">
        <v>138.9</v>
      </c>
      <c r="E96" s="76">
        <v>143.30000000000001</v>
      </c>
      <c r="F96" s="76">
        <v>148</v>
      </c>
      <c r="G96" s="40">
        <f t="shared" si="26"/>
        <v>142.05000000000001</v>
      </c>
      <c r="H96" s="76">
        <v>151</v>
      </c>
      <c r="I96" s="76">
        <v>151.5</v>
      </c>
      <c r="J96" s="76">
        <v>152.9</v>
      </c>
      <c r="K96" s="76">
        <v>154.19999999999999</v>
      </c>
      <c r="L96" s="40">
        <f t="shared" si="27"/>
        <v>152.39999999999998</v>
      </c>
      <c r="M96" s="76">
        <v>160.80000000000001</v>
      </c>
      <c r="N96" s="76">
        <v>168.6</v>
      </c>
      <c r="O96" s="76">
        <v>172.5</v>
      </c>
      <c r="P96" s="76">
        <v>174.8</v>
      </c>
      <c r="Q96" s="40">
        <f t="shared" si="14"/>
        <v>169.17500000000001</v>
      </c>
      <c r="R96" s="16">
        <f t="shared" si="11"/>
        <v>159.0625</v>
      </c>
      <c r="T96" s="6">
        <f t="shared" si="19"/>
        <v>8.4368269185675939E-4</v>
      </c>
      <c r="V96" s="23">
        <f>+claims!D96</f>
        <v>14</v>
      </c>
      <c r="W96" s="23">
        <f>+claims!E96</f>
        <v>7</v>
      </c>
      <c r="X96" s="23">
        <f>+claims!F96</f>
        <v>10</v>
      </c>
      <c r="Z96" s="6">
        <f t="shared" si="12"/>
        <v>9.8556846180922197E-2</v>
      </c>
      <c r="AA96" s="6">
        <f t="shared" si="13"/>
        <v>4.5931758530183733E-2</v>
      </c>
      <c r="AB96" s="6">
        <f t="shared" si="15"/>
        <v>5.9110388650805375E-2</v>
      </c>
      <c r="AD96" s="6">
        <f t="shared" si="16"/>
        <v>6.1291921532284299E-2</v>
      </c>
    </row>
    <row r="97" spans="1:30">
      <c r="A97" t="s">
        <v>150</v>
      </c>
      <c r="B97" t="s">
        <v>151</v>
      </c>
      <c r="C97" s="76">
        <v>15.5</v>
      </c>
      <c r="D97" s="76">
        <v>17.8</v>
      </c>
      <c r="E97" s="76">
        <v>18.2</v>
      </c>
      <c r="F97" s="76">
        <v>17.5</v>
      </c>
      <c r="G97" s="40">
        <f t="shared" si="26"/>
        <v>17.25</v>
      </c>
      <c r="H97" s="76">
        <v>17.399999999999999</v>
      </c>
      <c r="I97" s="76">
        <v>17.399999999999999</v>
      </c>
      <c r="J97" s="76">
        <v>17.7</v>
      </c>
      <c r="K97" s="76">
        <v>17.399999999999999</v>
      </c>
      <c r="L97" s="40">
        <f t="shared" si="27"/>
        <v>17.475000000000001</v>
      </c>
      <c r="M97" s="76">
        <v>18</v>
      </c>
      <c r="N97" s="76">
        <v>19.399999999999999</v>
      </c>
      <c r="O97" s="76">
        <v>17.100000000000001</v>
      </c>
      <c r="P97" s="76">
        <v>19.3</v>
      </c>
      <c r="Q97" s="40">
        <f t="shared" si="14"/>
        <v>18.45</v>
      </c>
      <c r="R97" s="16">
        <f t="shared" si="11"/>
        <v>17.925000000000001</v>
      </c>
      <c r="T97" s="6">
        <f t="shared" si="19"/>
        <v>9.507591199391693E-5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 t="shared" si="12"/>
        <v>0</v>
      </c>
      <c r="AA97" s="6">
        <f t="shared" si="13"/>
        <v>0</v>
      </c>
      <c r="AB97" s="6">
        <f t="shared" si="15"/>
        <v>0</v>
      </c>
      <c r="AD97" s="6">
        <f t="shared" si="16"/>
        <v>0</v>
      </c>
    </row>
    <row r="98" spans="1:30">
      <c r="A98" t="s">
        <v>152</v>
      </c>
      <c r="B98" t="s">
        <v>153</v>
      </c>
      <c r="C98" s="76">
        <v>275</v>
      </c>
      <c r="D98" s="76">
        <v>270.89999999999998</v>
      </c>
      <c r="E98" s="76">
        <v>272.39999999999998</v>
      </c>
      <c r="F98" s="76">
        <v>283.5</v>
      </c>
      <c r="G98" s="40">
        <f t="shared" si="26"/>
        <v>275.45</v>
      </c>
      <c r="H98" s="76">
        <v>277.60000000000002</v>
      </c>
      <c r="I98" s="76">
        <v>276</v>
      </c>
      <c r="J98" s="76">
        <v>275</v>
      </c>
      <c r="K98" s="76">
        <v>278</v>
      </c>
      <c r="L98" s="40">
        <f t="shared" si="27"/>
        <v>276.64999999999998</v>
      </c>
      <c r="M98" s="76">
        <v>274.8</v>
      </c>
      <c r="N98" s="76">
        <v>276.89999999999998</v>
      </c>
      <c r="O98" s="76">
        <v>274.5</v>
      </c>
      <c r="P98" s="76">
        <v>278.3</v>
      </c>
      <c r="Q98" s="40">
        <f t="shared" si="14"/>
        <v>276.125</v>
      </c>
      <c r="R98" s="16">
        <f t="shared" si="11"/>
        <v>276.1875</v>
      </c>
      <c r="T98" s="6">
        <f t="shared" si="19"/>
        <v>1.4649248783163143E-3</v>
      </c>
      <c r="V98" s="23">
        <f>+claims!D98</f>
        <v>3</v>
      </c>
      <c r="W98" s="23">
        <f>+claims!E98</f>
        <v>1</v>
      </c>
      <c r="X98" s="23">
        <f>+claims!F98</f>
        <v>1</v>
      </c>
      <c r="Z98" s="6">
        <f t="shared" si="12"/>
        <v>1.0891268832819025E-2</v>
      </c>
      <c r="AA98" s="6">
        <f t="shared" si="13"/>
        <v>3.6146755828664382E-3</v>
      </c>
      <c r="AB98" s="6">
        <f t="shared" si="15"/>
        <v>3.6215482118605704E-3</v>
      </c>
      <c r="AD98" s="6">
        <f t="shared" si="16"/>
        <v>4.830877439022269E-3</v>
      </c>
    </row>
    <row r="99" spans="1:30">
      <c r="A99" t="s">
        <v>154</v>
      </c>
      <c r="B99" t="s">
        <v>479</v>
      </c>
      <c r="C99" s="77">
        <v>2596.8000000000002</v>
      </c>
      <c r="D99" s="77">
        <v>2637.4</v>
      </c>
      <c r="E99" s="77">
        <v>2661.8</v>
      </c>
      <c r="F99" s="77">
        <v>2678.6</v>
      </c>
      <c r="G99" s="40">
        <f t="shared" si="26"/>
        <v>2643.65</v>
      </c>
      <c r="H99" s="77">
        <v>2671</v>
      </c>
      <c r="I99" s="77">
        <v>2676.3</v>
      </c>
      <c r="J99" s="77">
        <v>2686.7</v>
      </c>
      <c r="K99" s="77">
        <v>2690.4</v>
      </c>
      <c r="L99" s="40">
        <f t="shared" si="27"/>
        <v>2681.1</v>
      </c>
      <c r="M99" s="77">
        <v>2680.9</v>
      </c>
      <c r="N99" s="77">
        <v>2686.3</v>
      </c>
      <c r="O99" s="77">
        <v>2692.4</v>
      </c>
      <c r="P99" s="77">
        <v>2701</v>
      </c>
      <c r="Q99" s="40">
        <f t="shared" si="14"/>
        <v>2690.15</v>
      </c>
      <c r="R99" s="16">
        <f t="shared" si="11"/>
        <v>2679.3833333333337</v>
      </c>
      <c r="T99" s="6">
        <f t="shared" ref="T99:T129" si="28">+R99/$R$264</f>
        <v>1.4211705104489139E-2</v>
      </c>
      <c r="V99" s="23">
        <f>+claims!D99</f>
        <v>14</v>
      </c>
      <c r="W99" s="23">
        <f>+claims!E99</f>
        <v>10</v>
      </c>
      <c r="X99" s="23">
        <f>+claims!F99</f>
        <v>15</v>
      </c>
      <c r="Z99" s="6">
        <f t="shared" si="12"/>
        <v>5.2957085847218808E-3</v>
      </c>
      <c r="AA99" s="6">
        <f t="shared" si="13"/>
        <v>3.7298123904367614E-3</v>
      </c>
      <c r="AB99" s="6">
        <f t="shared" si="15"/>
        <v>5.5758972547999179E-3</v>
      </c>
      <c r="AD99" s="6">
        <f t="shared" si="16"/>
        <v>4.9138375216658597E-3</v>
      </c>
    </row>
    <row r="100" spans="1:30">
      <c r="A100" t="s">
        <v>155</v>
      </c>
      <c r="B100" t="s">
        <v>537</v>
      </c>
      <c r="C100" s="76">
        <v>72</v>
      </c>
      <c r="D100" s="76">
        <v>69.599999999999994</v>
      </c>
      <c r="E100" s="76">
        <v>67.900000000000006</v>
      </c>
      <c r="F100" s="76">
        <v>70</v>
      </c>
      <c r="G100" s="40">
        <f t="shared" si="26"/>
        <v>69.875</v>
      </c>
      <c r="H100" s="76">
        <v>70.5</v>
      </c>
      <c r="I100" s="76">
        <v>71.3</v>
      </c>
      <c r="J100" s="76">
        <v>70.8</v>
      </c>
      <c r="K100" s="76">
        <v>70.8</v>
      </c>
      <c r="L100" s="40">
        <f t="shared" si="27"/>
        <v>70.850000000000009</v>
      </c>
      <c r="M100" s="76">
        <v>70.8</v>
      </c>
      <c r="N100" s="76">
        <v>70.900000000000006</v>
      </c>
      <c r="O100" s="76">
        <v>71.8</v>
      </c>
      <c r="P100" s="76">
        <v>71.7</v>
      </c>
      <c r="Q100" s="40">
        <f>AVERAGE(M100:P100)</f>
        <v>71.3</v>
      </c>
      <c r="R100" s="16">
        <f>IF(G100&gt;0,(+G100+(L100*2)+(Q100*3))/6,IF(L100&gt;0,((L100*2)+(Q100*3))/5,Q100))</f>
        <v>70.912500000000009</v>
      </c>
      <c r="T100" s="6">
        <f t="shared" si="28"/>
        <v>3.7612667276254588E-4</v>
      </c>
      <c r="V100" s="23">
        <f>+claims!D100</f>
        <v>0</v>
      </c>
      <c r="W100" s="23">
        <f>+claims!E100</f>
        <v>1</v>
      </c>
      <c r="X100" s="23">
        <f>+claims!F100</f>
        <v>2</v>
      </c>
      <c r="Z100" s="6">
        <f>IF(G100&gt;100,IF(V100&lt;1,0,+V100/G100),IF(V100&lt;1,0,+V100/100))</f>
        <v>0</v>
      </c>
      <c r="AA100" s="6">
        <f>IF(L100&gt;100,IF(W100&lt;1,0,+W100/L100),IF(W100&lt;1,0,+W100/100))</f>
        <v>0.01</v>
      </c>
      <c r="AB100" s="6">
        <f>IF(Q100&gt;100,IF(X100&lt;1,0,+X100/Q100),IF(X100&lt;1,0,+X100/100))</f>
        <v>0.02</v>
      </c>
      <c r="AD100" s="6">
        <f t="shared" si="16"/>
        <v>1.3333333333333334E-2</v>
      </c>
    </row>
    <row r="101" spans="1:30">
      <c r="A101" t="s">
        <v>509</v>
      </c>
      <c r="B101" t="s">
        <v>510</v>
      </c>
      <c r="C101" s="76">
        <v>700.1</v>
      </c>
      <c r="D101" s="76">
        <v>708.4</v>
      </c>
      <c r="E101" s="76">
        <v>717.8</v>
      </c>
      <c r="F101" s="76">
        <v>724.8</v>
      </c>
      <c r="G101" s="40">
        <f t="shared" si="26"/>
        <v>712.77500000000009</v>
      </c>
      <c r="H101" s="76">
        <v>715.4</v>
      </c>
      <c r="I101" s="76">
        <v>717</v>
      </c>
      <c r="J101" s="76">
        <v>711.5</v>
      </c>
      <c r="K101" s="76">
        <v>720</v>
      </c>
      <c r="L101" s="40">
        <f t="shared" si="27"/>
        <v>715.97500000000002</v>
      </c>
      <c r="M101" s="76">
        <v>718.2</v>
      </c>
      <c r="N101" s="76">
        <v>712</v>
      </c>
      <c r="O101" s="76">
        <v>712.4</v>
      </c>
      <c r="P101" s="76">
        <v>720.5</v>
      </c>
      <c r="Q101" s="40">
        <f>AVERAGE(M101:P101)</f>
        <v>715.77499999999998</v>
      </c>
      <c r="R101" s="16">
        <f>IF(G101&gt;0,(+G101+(L101*2)+(Q101*3))/6,IF(L101&gt;0,((L101*2)+(Q101*3))/5,Q101))</f>
        <v>715.3416666666667</v>
      </c>
      <c r="T101" s="6">
        <f t="shared" si="28"/>
        <v>3.7942405213713731E-3</v>
      </c>
      <c r="V101" s="23">
        <f>+claims!D101</f>
        <v>6</v>
      </c>
      <c r="W101" s="23">
        <f>+claims!E101</f>
        <v>7</v>
      </c>
      <c r="X101" s="23">
        <f>+claims!F101</f>
        <v>6</v>
      </c>
      <c r="Z101" s="6">
        <f>IF(G101&gt;100,IF(V101&lt;1,0,+V101/G101),IF(V101&lt;1,0,+V101/100))</f>
        <v>8.4178036547297528E-3</v>
      </c>
      <c r="AA101" s="6">
        <f>IF(L101&gt;100,IF(W101&lt;1,0,+W101/L101),IF(W101&lt;1,0,+W101/100))</f>
        <v>9.7768776842766855E-3</v>
      </c>
      <c r="AB101" s="6">
        <f>IF(Q101&gt;100,IF(X101&lt;1,0,+X101/Q101),IF(X101&lt;1,0,+X101/100))</f>
        <v>8.3825224407111168E-3</v>
      </c>
      <c r="AD101" s="6">
        <f t="shared" si="16"/>
        <v>8.8531877242360793E-3</v>
      </c>
    </row>
    <row r="102" spans="1:30">
      <c r="A102" t="s">
        <v>553</v>
      </c>
      <c r="B102" t="s">
        <v>554</v>
      </c>
      <c r="C102" s="77">
        <v>2639.5</v>
      </c>
      <c r="D102" s="77">
        <v>2537</v>
      </c>
      <c r="E102" s="77">
        <v>2511</v>
      </c>
      <c r="F102" s="77">
        <v>2516</v>
      </c>
      <c r="G102" s="40">
        <f t="shared" ref="G102:G142" si="29">AVERAGE(C102:F102)</f>
        <v>2550.875</v>
      </c>
      <c r="H102" s="77">
        <v>2509</v>
      </c>
      <c r="I102" s="77">
        <v>2534</v>
      </c>
      <c r="J102" s="77">
        <v>2544</v>
      </c>
      <c r="K102" s="77">
        <v>2539</v>
      </c>
      <c r="L102" s="40">
        <f t="shared" ref="L102:L126" si="30">AVERAGE(H102:K102)</f>
        <v>2531.5</v>
      </c>
      <c r="M102" s="77">
        <v>2589.6999999999998</v>
      </c>
      <c r="N102" s="77">
        <v>2638</v>
      </c>
      <c r="O102" s="77">
        <v>2658</v>
      </c>
      <c r="P102" s="77">
        <v>2666</v>
      </c>
      <c r="Q102" s="40">
        <f t="shared" si="14"/>
        <v>2637.9250000000002</v>
      </c>
      <c r="R102" s="16">
        <f t="shared" ref="R102:R161" si="31">IF(G102&gt;0,(+G102+(L102*2)+(Q102*3))/6,IF(L102&gt;0,((L102*2)+(Q102*3))/5,Q102))</f>
        <v>2587.9416666666671</v>
      </c>
      <c r="T102" s="6">
        <f t="shared" si="28"/>
        <v>1.3726689771012036E-2</v>
      </c>
      <c r="V102" s="23">
        <f>+claims!D102</f>
        <v>476</v>
      </c>
      <c r="W102" s="23">
        <f>+claims!E102</f>
        <v>499</v>
      </c>
      <c r="X102" s="23">
        <f>+claims!F102</f>
        <v>490</v>
      </c>
      <c r="Z102" s="6">
        <f t="shared" ref="Z102:Z165" si="32">IF(G102&gt;100,IF(V102&lt;1,0,+V102/G102),IF(V102&lt;1,0,+V102/100))</f>
        <v>0.18660263635027197</v>
      </c>
      <c r="AA102" s="6">
        <f t="shared" ref="AA102:AA165" si="33">IF(L102&gt;100,IF(W102&lt;1,0,+W102/L102),IF(W102&lt;1,0,+W102/100))</f>
        <v>0.19711633418921587</v>
      </c>
      <c r="AB102" s="6">
        <f t="shared" si="15"/>
        <v>0.18575205890993868</v>
      </c>
      <c r="AD102" s="6">
        <f t="shared" si="16"/>
        <v>0.18968191357641997</v>
      </c>
    </row>
    <row r="103" spans="1:30">
      <c r="A103" t="s">
        <v>156</v>
      </c>
      <c r="B103" t="s">
        <v>157</v>
      </c>
      <c r="C103" s="77">
        <v>37561</v>
      </c>
      <c r="D103" s="77">
        <v>37687.199999999997</v>
      </c>
      <c r="E103" s="77">
        <v>37817.199999999997</v>
      </c>
      <c r="F103" s="77">
        <v>37771.1</v>
      </c>
      <c r="G103" s="40">
        <f t="shared" si="29"/>
        <v>37709.125</v>
      </c>
      <c r="H103" s="77">
        <v>37259.199999999997</v>
      </c>
      <c r="I103" s="77">
        <v>37200.1</v>
      </c>
      <c r="J103" s="77">
        <v>37170.300000000003</v>
      </c>
      <c r="K103" s="77">
        <v>37365.199999999997</v>
      </c>
      <c r="L103" s="40">
        <f t="shared" si="30"/>
        <v>37248.699999999997</v>
      </c>
      <c r="M103" s="77">
        <v>37466.9</v>
      </c>
      <c r="N103" s="77">
        <v>38023.5</v>
      </c>
      <c r="O103" s="77">
        <v>38507.1</v>
      </c>
      <c r="P103" s="77">
        <v>38811.599999999999</v>
      </c>
      <c r="Q103" s="40">
        <f t="shared" ref="Q103:Q139" si="34">AVERAGE(M103:P103)</f>
        <v>38202.275000000001</v>
      </c>
      <c r="R103" s="16">
        <f t="shared" si="31"/>
        <v>37802.224999999999</v>
      </c>
      <c r="T103" s="6">
        <f t="shared" si="28"/>
        <v>0.20050661184235682</v>
      </c>
      <c r="V103" s="23">
        <f>+claims!D103</f>
        <v>1725</v>
      </c>
      <c r="W103" s="23">
        <f>+claims!E103</f>
        <v>1711</v>
      </c>
      <c r="X103" s="23">
        <f>+claims!F103</f>
        <v>1805</v>
      </c>
      <c r="Z103" s="6">
        <f t="shared" si="32"/>
        <v>4.5744895963510161E-2</v>
      </c>
      <c r="AA103" s="6">
        <f t="shared" si="33"/>
        <v>4.5934488988877469E-2</v>
      </c>
      <c r="AB103" s="6">
        <f t="shared" si="15"/>
        <v>4.7248495017639655E-2</v>
      </c>
      <c r="AD103" s="6">
        <f t="shared" si="16"/>
        <v>4.6559893165697343E-2</v>
      </c>
    </row>
    <row r="104" spans="1:30" s="52" customFormat="1">
      <c r="A104" s="52" t="s">
        <v>514</v>
      </c>
      <c r="B104" s="52" t="s">
        <v>513</v>
      </c>
      <c r="C104" s="40">
        <v>979.9</v>
      </c>
      <c r="D104" s="40">
        <v>979.9</v>
      </c>
      <c r="E104" s="40">
        <v>979.9</v>
      </c>
      <c r="F104" s="40">
        <v>979.9</v>
      </c>
      <c r="G104" s="40">
        <f t="shared" si="29"/>
        <v>979.9</v>
      </c>
      <c r="H104" s="40">
        <v>994.2</v>
      </c>
      <c r="I104" s="40">
        <v>994.2</v>
      </c>
      <c r="J104" s="40">
        <v>994.2</v>
      </c>
      <c r="K104" s="40">
        <v>994.2</v>
      </c>
      <c r="L104" s="40">
        <f t="shared" si="30"/>
        <v>994.2</v>
      </c>
      <c r="M104" s="40">
        <v>991.4</v>
      </c>
      <c r="N104" s="40">
        <v>991.4</v>
      </c>
      <c r="O104" s="40">
        <v>991.4</v>
      </c>
      <c r="P104" s="40">
        <v>991.4</v>
      </c>
      <c r="Q104" s="40">
        <f t="shared" si="34"/>
        <v>991.4</v>
      </c>
      <c r="R104" s="40">
        <f>IF(G104&gt;0,(+G104+(L104*2)+(Q104*3))/6,IF(L104&gt;0,((L104*2)+(Q104*3))/5,Q104))</f>
        <v>990.41666666666663</v>
      </c>
      <c r="T104" s="41">
        <f t="shared" si="28"/>
        <v>5.2532645934342294E-3</v>
      </c>
      <c r="V104" s="42">
        <f>+claims!D104</f>
        <v>14</v>
      </c>
      <c r="W104" s="42">
        <f>+claims!E104</f>
        <v>13</v>
      </c>
      <c r="X104" s="42">
        <f>+claims!F104</f>
        <v>15</v>
      </c>
      <c r="Z104" s="41">
        <f>IF(G104&gt;100,IF(V104&lt;1,0,+V104/G104),IF(V104&lt;1,0,+V104/100))</f>
        <v>1.4287172160424534E-2</v>
      </c>
      <c r="AA104" s="41">
        <f>IF(L104&gt;100,IF(W104&lt;1,0,+W104/L104),IF(W104&lt;1,0,+W104/100))</f>
        <v>1.3075839871253268E-2</v>
      </c>
      <c r="AB104" s="41">
        <f>IF(Q104&gt;100,IF(X104&lt;1,0,+X104/Q104),IF(X104&lt;1,0,+X104/100))</f>
        <v>1.5130119023602987E-2</v>
      </c>
      <c r="AD104" s="41">
        <f t="shared" si="16"/>
        <v>1.4304868162290004E-2</v>
      </c>
    </row>
    <row r="105" spans="1:30">
      <c r="A105" t="s">
        <v>158</v>
      </c>
      <c r="B105" t="s">
        <v>159</v>
      </c>
      <c r="C105" s="76">
        <v>738.1</v>
      </c>
      <c r="D105" s="76">
        <v>752</v>
      </c>
      <c r="E105" s="76">
        <v>762.3</v>
      </c>
      <c r="F105" s="76">
        <v>769</v>
      </c>
      <c r="G105" s="40">
        <f t="shared" si="29"/>
        <v>755.34999999999991</v>
      </c>
      <c r="H105" s="76">
        <v>798.2</v>
      </c>
      <c r="I105" s="76">
        <v>822.5</v>
      </c>
      <c r="J105" s="76">
        <v>818.1</v>
      </c>
      <c r="K105" s="76">
        <v>815.8</v>
      </c>
      <c r="L105" s="40">
        <f t="shared" si="30"/>
        <v>813.65000000000009</v>
      </c>
      <c r="M105" s="76">
        <v>809.6</v>
      </c>
      <c r="N105" s="76">
        <v>804.8</v>
      </c>
      <c r="O105" s="76">
        <v>808.1</v>
      </c>
      <c r="P105" s="76">
        <v>815</v>
      </c>
      <c r="Q105" s="40">
        <f t="shared" si="34"/>
        <v>809.375</v>
      </c>
      <c r="R105" s="16">
        <f t="shared" si="31"/>
        <v>801.79583333333323</v>
      </c>
      <c r="T105" s="6">
        <f t="shared" si="28"/>
        <v>4.2528016784987048E-3</v>
      </c>
      <c r="V105" s="23">
        <f>+claims!D105</f>
        <v>3</v>
      </c>
      <c r="W105" s="23">
        <f>+claims!E105</f>
        <v>5</v>
      </c>
      <c r="X105" s="23">
        <f>+claims!F105</f>
        <v>4</v>
      </c>
      <c r="Z105" s="6">
        <f t="shared" si="32"/>
        <v>3.9716687628251809E-3</v>
      </c>
      <c r="AA105" s="6">
        <f t="shared" si="33"/>
        <v>6.1451484053339882E-3</v>
      </c>
      <c r="AB105" s="6">
        <f t="shared" si="15"/>
        <v>4.9420849420849424E-3</v>
      </c>
      <c r="AD105" s="6">
        <f t="shared" si="16"/>
        <v>5.1813700666246644E-3</v>
      </c>
    </row>
    <row r="106" spans="1:30">
      <c r="A106" t="s">
        <v>160</v>
      </c>
      <c r="B106" t="s">
        <v>161</v>
      </c>
      <c r="C106" s="77">
        <v>1385</v>
      </c>
      <c r="D106" s="77">
        <v>1386.7</v>
      </c>
      <c r="E106" s="77">
        <v>1400.7</v>
      </c>
      <c r="F106" s="77">
        <v>1230.8</v>
      </c>
      <c r="G106" s="40">
        <f t="shared" si="29"/>
        <v>1350.8</v>
      </c>
      <c r="H106" s="77">
        <v>1387.8</v>
      </c>
      <c r="I106" s="77">
        <v>1351.7</v>
      </c>
      <c r="J106" s="77">
        <v>1396.7</v>
      </c>
      <c r="K106" s="77">
        <v>998.7</v>
      </c>
      <c r="L106" s="40">
        <f t="shared" si="30"/>
        <v>1283.7249999999999</v>
      </c>
      <c r="M106" s="77">
        <v>1348.4</v>
      </c>
      <c r="N106" s="77">
        <v>1308.7</v>
      </c>
      <c r="O106" s="77">
        <v>1336.6</v>
      </c>
      <c r="P106" s="77">
        <v>956</v>
      </c>
      <c r="Q106" s="40">
        <f t="shared" si="34"/>
        <v>1237.4250000000002</v>
      </c>
      <c r="R106" s="16">
        <f t="shared" si="31"/>
        <v>1271.7541666666668</v>
      </c>
      <c r="T106" s="6">
        <f t="shared" si="28"/>
        <v>6.7455055636204842E-3</v>
      </c>
      <c r="V106" s="23">
        <f>+claims!D106</f>
        <v>23</v>
      </c>
      <c r="W106" s="23">
        <f>+claims!E106</f>
        <v>19</v>
      </c>
      <c r="X106" s="23">
        <f>+claims!F106</f>
        <v>21</v>
      </c>
      <c r="Z106" s="6">
        <f t="shared" si="32"/>
        <v>1.7026946994373706E-2</v>
      </c>
      <c r="AA106" s="6">
        <f t="shared" si="33"/>
        <v>1.4800677715242752E-2</v>
      </c>
      <c r="AB106" s="6">
        <f t="shared" ref="AB106:AB169" si="35">IF(Q106&gt;100,IF(X106&lt;1,0,+X106/Q106),IF(X106&lt;1,0,+X106/100))</f>
        <v>1.6970725498515058E-2</v>
      </c>
      <c r="AD106" s="6">
        <f t="shared" si="16"/>
        <v>1.6256746486734065E-2</v>
      </c>
    </row>
    <row r="107" spans="1:30">
      <c r="A107" t="s">
        <v>162</v>
      </c>
      <c r="B107" t="s">
        <v>163</v>
      </c>
      <c r="C107" s="77">
        <v>1678</v>
      </c>
      <c r="D107" s="77">
        <v>1667</v>
      </c>
      <c r="E107" s="77">
        <v>1671</v>
      </c>
      <c r="F107" s="77">
        <v>1691</v>
      </c>
      <c r="G107" s="40">
        <f t="shared" si="29"/>
        <v>1676.75</v>
      </c>
      <c r="H107" s="77">
        <v>1643</v>
      </c>
      <c r="I107" s="77">
        <v>1651</v>
      </c>
      <c r="J107" s="77">
        <v>1663</v>
      </c>
      <c r="K107" s="77">
        <v>1668</v>
      </c>
      <c r="L107" s="40">
        <f t="shared" si="30"/>
        <v>1656.25</v>
      </c>
      <c r="M107" s="77">
        <v>1638</v>
      </c>
      <c r="N107" s="77">
        <v>1638</v>
      </c>
      <c r="O107" s="77">
        <v>1656</v>
      </c>
      <c r="P107" s="77">
        <v>1659</v>
      </c>
      <c r="Q107" s="40">
        <f t="shared" si="34"/>
        <v>1647.75</v>
      </c>
      <c r="R107" s="16">
        <f t="shared" si="31"/>
        <v>1655.4166666666667</v>
      </c>
      <c r="T107" s="6">
        <f t="shared" si="28"/>
        <v>8.7804881067371447E-3</v>
      </c>
      <c r="V107" s="23">
        <f>+claims!D107</f>
        <v>33</v>
      </c>
      <c r="W107" s="23">
        <f>+claims!E107</f>
        <v>34</v>
      </c>
      <c r="X107" s="23">
        <f>+claims!F107</f>
        <v>44</v>
      </c>
      <c r="Z107" s="6">
        <f t="shared" si="32"/>
        <v>1.9680930371253912E-2</v>
      </c>
      <c r="AA107" s="6">
        <f t="shared" si="33"/>
        <v>2.0528301886792454E-2</v>
      </c>
      <c r="AB107" s="6">
        <f t="shared" si="35"/>
        <v>2.6703079957517827E-2</v>
      </c>
      <c r="AD107" s="6">
        <f t="shared" si="16"/>
        <v>2.3474462336232047E-2</v>
      </c>
    </row>
    <row r="108" spans="1:30">
      <c r="A108" t="s">
        <v>164</v>
      </c>
      <c r="B108" t="s">
        <v>165</v>
      </c>
      <c r="C108" s="77">
        <v>6774.5</v>
      </c>
      <c r="D108" s="77">
        <v>6499.6</v>
      </c>
      <c r="E108" s="77">
        <v>6725.3</v>
      </c>
      <c r="F108" s="77">
        <v>5582.4</v>
      </c>
      <c r="G108" s="40">
        <f t="shared" si="29"/>
        <v>6395.4500000000007</v>
      </c>
      <c r="H108" s="77">
        <v>6978.9</v>
      </c>
      <c r="I108" s="77">
        <v>6788.3</v>
      </c>
      <c r="J108" s="77">
        <v>6938.2000000000007</v>
      </c>
      <c r="K108" s="77">
        <v>5625.4</v>
      </c>
      <c r="L108" s="40">
        <f t="shared" si="30"/>
        <v>6582.7000000000007</v>
      </c>
      <c r="M108" s="77">
        <v>7263.2</v>
      </c>
      <c r="N108" s="77">
        <v>7065.5</v>
      </c>
      <c r="O108" s="77">
        <v>7164.4</v>
      </c>
      <c r="P108" s="77">
        <v>5856.7</v>
      </c>
      <c r="Q108" s="40">
        <f t="shared" si="34"/>
        <v>6837.45</v>
      </c>
      <c r="R108" s="16">
        <f t="shared" si="31"/>
        <v>6678.8666666666659</v>
      </c>
      <c r="T108" s="6">
        <f t="shared" si="28"/>
        <v>3.542534669004771E-2</v>
      </c>
      <c r="V108" s="23">
        <f>+claims!D108</f>
        <v>78</v>
      </c>
      <c r="W108" s="23">
        <f>+claims!E108</f>
        <v>91</v>
      </c>
      <c r="X108" s="23">
        <f>+claims!F108</f>
        <v>97</v>
      </c>
      <c r="Z108" s="6">
        <f t="shared" si="32"/>
        <v>1.2196170715117778E-2</v>
      </c>
      <c r="AA108" s="6">
        <f t="shared" si="33"/>
        <v>1.3824114724960881E-2</v>
      </c>
      <c r="AB108" s="6">
        <f t="shared" si="35"/>
        <v>1.4186575404573343E-2</v>
      </c>
      <c r="AD108" s="6">
        <f t="shared" si="16"/>
        <v>1.3734021063126595E-2</v>
      </c>
    </row>
    <row r="109" spans="1:30">
      <c r="A109" t="s">
        <v>166</v>
      </c>
      <c r="B109" t="s">
        <v>167</v>
      </c>
      <c r="C109" s="77">
        <v>1846.4</v>
      </c>
      <c r="D109" s="77">
        <v>1881.6</v>
      </c>
      <c r="E109" s="77">
        <v>1814.8</v>
      </c>
      <c r="F109" s="77">
        <v>1400.9</v>
      </c>
      <c r="G109" s="40">
        <f t="shared" si="29"/>
        <v>1735.9250000000002</v>
      </c>
      <c r="H109" s="77">
        <v>1865.8</v>
      </c>
      <c r="I109" s="77">
        <v>1942</v>
      </c>
      <c r="J109" s="77">
        <v>1818.2</v>
      </c>
      <c r="K109" s="77">
        <v>1384.5</v>
      </c>
      <c r="L109" s="40">
        <f t="shared" si="30"/>
        <v>1752.625</v>
      </c>
      <c r="M109" s="77">
        <v>1896.3000000000002</v>
      </c>
      <c r="N109" s="77">
        <v>1939.8</v>
      </c>
      <c r="O109" s="77">
        <v>1881.4</v>
      </c>
      <c r="P109" s="77">
        <v>1465.7</v>
      </c>
      <c r="Q109" s="40">
        <f t="shared" si="34"/>
        <v>1795.8</v>
      </c>
      <c r="R109" s="16">
        <f t="shared" si="31"/>
        <v>1771.4291666666668</v>
      </c>
      <c r="T109" s="6">
        <f t="shared" si="28"/>
        <v>9.3958294869432423E-3</v>
      </c>
      <c r="V109" s="23">
        <f>+claims!D109</f>
        <v>28</v>
      </c>
      <c r="W109" s="23">
        <f>+claims!E109</f>
        <v>36</v>
      </c>
      <c r="X109" s="23">
        <f>+claims!F109</f>
        <v>36</v>
      </c>
      <c r="Z109" s="6">
        <f t="shared" si="32"/>
        <v>1.6129729106960266E-2</v>
      </c>
      <c r="AA109" s="6">
        <f t="shared" si="33"/>
        <v>2.054061764496113E-2</v>
      </c>
      <c r="AB109" s="6">
        <f t="shared" si="35"/>
        <v>2.0046775810223856E-2</v>
      </c>
      <c r="AD109" s="6">
        <f t="shared" si="16"/>
        <v>1.9558548637925683E-2</v>
      </c>
    </row>
    <row r="110" spans="1:30">
      <c r="A110" t="s">
        <v>168</v>
      </c>
      <c r="B110" t="s">
        <v>169</v>
      </c>
      <c r="C110" s="77">
        <v>6979.2</v>
      </c>
      <c r="D110" s="77">
        <v>6705.2</v>
      </c>
      <c r="E110" s="77">
        <v>6857.9</v>
      </c>
      <c r="F110" s="77">
        <v>5568.6</v>
      </c>
      <c r="G110" s="40">
        <f t="shared" si="29"/>
        <v>6527.7250000000004</v>
      </c>
      <c r="H110" s="77">
        <v>7084.3</v>
      </c>
      <c r="I110" s="77">
        <v>6746.5</v>
      </c>
      <c r="J110" s="77">
        <v>6914.9</v>
      </c>
      <c r="K110" s="77">
        <v>5465.4000000000005</v>
      </c>
      <c r="L110" s="40">
        <f t="shared" si="30"/>
        <v>6552.7749999999996</v>
      </c>
      <c r="M110" s="77">
        <v>7200.3</v>
      </c>
      <c r="N110" s="77">
        <v>6872.8</v>
      </c>
      <c r="O110" s="77">
        <v>7138.7</v>
      </c>
      <c r="P110" s="77">
        <v>5555.5</v>
      </c>
      <c r="Q110" s="40">
        <f t="shared" si="34"/>
        <v>6691.8249999999998</v>
      </c>
      <c r="R110" s="16">
        <f t="shared" si="31"/>
        <v>6618.125</v>
      </c>
      <c r="T110" s="6">
        <f t="shared" si="28"/>
        <v>3.5103167088688506E-2</v>
      </c>
      <c r="V110" s="23">
        <f>+claims!D110</f>
        <v>115</v>
      </c>
      <c r="W110" s="23">
        <f>+claims!E110</f>
        <v>109</v>
      </c>
      <c r="X110" s="23">
        <f>+claims!F110</f>
        <v>95</v>
      </c>
      <c r="Z110" s="6">
        <f t="shared" si="32"/>
        <v>1.7617163713238532E-2</v>
      </c>
      <c r="AA110" s="6">
        <f t="shared" si="33"/>
        <v>1.6634174071290409E-2</v>
      </c>
      <c r="AB110" s="6">
        <f t="shared" si="35"/>
        <v>1.4196426236490046E-2</v>
      </c>
      <c r="AD110" s="6">
        <f t="shared" si="16"/>
        <v>1.5579131760881581E-2</v>
      </c>
    </row>
    <row r="111" spans="1:30">
      <c r="A111" t="s">
        <v>170</v>
      </c>
      <c r="B111" t="s">
        <v>171</v>
      </c>
      <c r="C111" s="77">
        <v>1517</v>
      </c>
      <c r="D111" s="77">
        <v>1420.8</v>
      </c>
      <c r="E111" s="77">
        <v>1230.2</v>
      </c>
      <c r="F111" s="76">
        <v>966.2</v>
      </c>
      <c r="G111" s="40">
        <f t="shared" si="29"/>
        <v>1283.55</v>
      </c>
      <c r="H111" s="77">
        <v>1538.9</v>
      </c>
      <c r="I111" s="77">
        <v>1408.9</v>
      </c>
      <c r="J111" s="77">
        <v>1502</v>
      </c>
      <c r="K111" s="76">
        <v>1023.9</v>
      </c>
      <c r="L111" s="40">
        <f t="shared" si="30"/>
        <v>1368.425</v>
      </c>
      <c r="M111" s="77">
        <v>1645</v>
      </c>
      <c r="N111" s="77">
        <v>1598.6999999999998</v>
      </c>
      <c r="O111" s="77">
        <v>1621.8</v>
      </c>
      <c r="P111" s="76">
        <v>1120.5</v>
      </c>
      <c r="Q111" s="40">
        <f t="shared" si="34"/>
        <v>1496.5</v>
      </c>
      <c r="R111" s="16">
        <f t="shared" si="31"/>
        <v>1418.3166666666666</v>
      </c>
      <c r="T111" s="6">
        <f t="shared" si="28"/>
        <v>7.5228870616181652E-3</v>
      </c>
      <c r="V111" s="23">
        <f>+claims!D111</f>
        <v>23</v>
      </c>
      <c r="W111" s="23">
        <f>+claims!E111</f>
        <v>12</v>
      </c>
      <c r="X111" s="23">
        <f>+claims!F111</f>
        <v>19</v>
      </c>
      <c r="Z111" s="6">
        <f t="shared" si="32"/>
        <v>1.7919052627478477E-2</v>
      </c>
      <c r="AA111" s="6">
        <f t="shared" si="33"/>
        <v>8.76920547344575E-3</v>
      </c>
      <c r="AB111" s="6">
        <f t="shared" si="35"/>
        <v>1.2696291346475109E-2</v>
      </c>
      <c r="AD111" s="6">
        <f t="shared" si="16"/>
        <v>1.2257722935632551E-2</v>
      </c>
    </row>
    <row r="112" spans="1:30">
      <c r="A112" t="s">
        <v>172</v>
      </c>
      <c r="B112" t="s">
        <v>173</v>
      </c>
      <c r="C112" s="76">
        <v>800.9</v>
      </c>
      <c r="D112" s="76">
        <v>768.4</v>
      </c>
      <c r="E112" s="76">
        <v>764.6</v>
      </c>
      <c r="F112" s="76">
        <v>575.1</v>
      </c>
      <c r="G112" s="40">
        <f t="shared" si="29"/>
        <v>727.25</v>
      </c>
      <c r="H112" s="76">
        <v>821.7</v>
      </c>
      <c r="I112" s="76">
        <v>777.8</v>
      </c>
      <c r="J112" s="76">
        <v>793.3</v>
      </c>
      <c r="K112" s="76">
        <v>591</v>
      </c>
      <c r="L112" s="40">
        <f t="shared" si="30"/>
        <v>745.95</v>
      </c>
      <c r="M112" s="76">
        <v>847.2</v>
      </c>
      <c r="N112" s="76">
        <v>807.5</v>
      </c>
      <c r="O112" s="76">
        <v>829.5</v>
      </c>
      <c r="P112" s="76">
        <v>610</v>
      </c>
      <c r="Q112" s="40">
        <f t="shared" si="34"/>
        <v>773.55</v>
      </c>
      <c r="R112" s="16">
        <f t="shared" si="31"/>
        <v>756.63333333333321</v>
      </c>
      <c r="T112" s="6">
        <f t="shared" si="28"/>
        <v>4.0132554650858581E-3</v>
      </c>
      <c r="V112" s="23">
        <f>+claims!D112</f>
        <v>17</v>
      </c>
      <c r="W112" s="23">
        <f>+claims!E112</f>
        <v>11</v>
      </c>
      <c r="X112" s="23">
        <f>+claims!F112</f>
        <v>9</v>
      </c>
      <c r="Z112" s="6">
        <f t="shared" si="32"/>
        <v>2.3375730491577863E-2</v>
      </c>
      <c r="AA112" s="6">
        <f t="shared" si="33"/>
        <v>1.4746296668677524E-2</v>
      </c>
      <c r="AB112" s="6">
        <f t="shared" si="35"/>
        <v>1.1634671320535195E-2</v>
      </c>
      <c r="AD112" s="6">
        <f t="shared" si="16"/>
        <v>1.462872296508975E-2</v>
      </c>
    </row>
    <row r="113" spans="1:30">
      <c r="A113" t="s">
        <v>174</v>
      </c>
      <c r="B113" t="s">
        <v>175</v>
      </c>
      <c r="C113" s="76">
        <v>952</v>
      </c>
      <c r="D113" s="77">
        <v>1012.3</v>
      </c>
      <c r="E113" s="77">
        <v>1000.9</v>
      </c>
      <c r="F113" s="76">
        <v>775.6</v>
      </c>
      <c r="G113" s="40">
        <f t="shared" si="29"/>
        <v>935.19999999999993</v>
      </c>
      <c r="H113" s="76">
        <v>956.90000000000009</v>
      </c>
      <c r="I113" s="77">
        <v>963.8</v>
      </c>
      <c r="J113" s="77">
        <v>978.9</v>
      </c>
      <c r="K113" s="76">
        <v>777.59999999999991</v>
      </c>
      <c r="L113" s="40">
        <f t="shared" si="30"/>
        <v>919.3</v>
      </c>
      <c r="M113" s="76">
        <v>1019.0999999999999</v>
      </c>
      <c r="N113" s="77">
        <v>917.2</v>
      </c>
      <c r="O113" s="77">
        <v>1006.4000000000001</v>
      </c>
      <c r="P113" s="76">
        <v>780.6</v>
      </c>
      <c r="Q113" s="40">
        <f t="shared" si="34"/>
        <v>930.82499999999993</v>
      </c>
      <c r="R113" s="16">
        <f t="shared" si="31"/>
        <v>927.71249999999998</v>
      </c>
      <c r="T113" s="6">
        <f t="shared" si="28"/>
        <v>4.9206757046391441E-3</v>
      </c>
      <c r="V113" s="23">
        <f>+claims!D113</f>
        <v>9</v>
      </c>
      <c r="W113" s="23">
        <f>+claims!E113</f>
        <v>5</v>
      </c>
      <c r="X113" s="23">
        <f>+claims!F113</f>
        <v>11</v>
      </c>
      <c r="Z113" s="6">
        <f t="shared" si="32"/>
        <v>9.6236099230111206E-3</v>
      </c>
      <c r="AA113" s="6">
        <f t="shared" si="33"/>
        <v>5.4389209180898514E-3</v>
      </c>
      <c r="AB113" s="6">
        <f t="shared" si="35"/>
        <v>1.1817473746407757E-2</v>
      </c>
      <c r="AD113" s="6">
        <f t="shared" si="16"/>
        <v>9.3256454997356821E-3</v>
      </c>
    </row>
    <row r="114" spans="1:30">
      <c r="A114" t="s">
        <v>176</v>
      </c>
      <c r="B114" t="s">
        <v>538</v>
      </c>
      <c r="C114" s="77">
        <f>5511.7-1518.6</f>
        <v>3993.1</v>
      </c>
      <c r="D114" s="77">
        <f>5617.7-1518.6</f>
        <v>4099.1000000000004</v>
      </c>
      <c r="E114" s="77">
        <f>5638.4-1518.6</f>
        <v>4119.7999999999993</v>
      </c>
      <c r="F114" s="77">
        <f>5652.2-1518.6</f>
        <v>4133.6000000000004</v>
      </c>
      <c r="G114" s="40">
        <f t="shared" si="29"/>
        <v>4086.4</v>
      </c>
      <c r="H114" s="77">
        <v>3927</v>
      </c>
      <c r="I114" s="77">
        <v>4200</v>
      </c>
      <c r="J114" s="77">
        <v>4250</v>
      </c>
      <c r="K114" s="77">
        <v>4225</v>
      </c>
      <c r="L114" s="40">
        <f t="shared" si="30"/>
        <v>4150.5</v>
      </c>
      <c r="M114" s="77">
        <v>4298.5</v>
      </c>
      <c r="N114" s="77">
        <v>4370.6000000000004</v>
      </c>
      <c r="O114" s="77">
        <v>4343.8999999999996</v>
      </c>
      <c r="P114" s="77">
        <v>4365.5</v>
      </c>
      <c r="Q114" s="40">
        <f t="shared" si="34"/>
        <v>4344.625</v>
      </c>
      <c r="R114" s="16">
        <f t="shared" si="31"/>
        <v>4236.8791666666666</v>
      </c>
      <c r="T114" s="6">
        <f t="shared" si="28"/>
        <v>2.2472811758932225E-2</v>
      </c>
      <c r="V114" s="23">
        <f>+claims!D114</f>
        <v>60</v>
      </c>
      <c r="W114" s="23">
        <f>+claims!E114</f>
        <v>56</v>
      </c>
      <c r="X114" s="23">
        <f>+claims!F114</f>
        <v>50</v>
      </c>
      <c r="Z114" s="6">
        <f t="shared" si="32"/>
        <v>1.4682850430696946E-2</v>
      </c>
      <c r="AA114" s="6">
        <f t="shared" si="33"/>
        <v>1.3492350319238646E-2</v>
      </c>
      <c r="AB114" s="6">
        <f t="shared" si="35"/>
        <v>1.1508473113329689E-2</v>
      </c>
      <c r="AD114" s="6">
        <f t="shared" si="16"/>
        <v>1.2698828401527218E-2</v>
      </c>
    </row>
    <row r="115" spans="1:30">
      <c r="A115" t="s">
        <v>177</v>
      </c>
      <c r="B115" t="s">
        <v>178</v>
      </c>
      <c r="C115" s="77">
        <v>5436.2</v>
      </c>
      <c r="D115" s="77">
        <v>5264.2</v>
      </c>
      <c r="E115" s="77">
        <v>5400.7</v>
      </c>
      <c r="F115" s="77">
        <v>3950.3</v>
      </c>
      <c r="G115" s="40">
        <f t="shared" si="29"/>
        <v>5012.8499999999995</v>
      </c>
      <c r="H115" s="77">
        <v>5532</v>
      </c>
      <c r="I115" s="77">
        <v>5133</v>
      </c>
      <c r="J115" s="77">
        <v>5305.8</v>
      </c>
      <c r="K115" s="77">
        <v>3866.6000000000004</v>
      </c>
      <c r="L115" s="40">
        <f t="shared" si="30"/>
        <v>4959.3500000000004</v>
      </c>
      <c r="M115" s="77">
        <v>5550.8</v>
      </c>
      <c r="N115" s="77">
        <v>5105.5</v>
      </c>
      <c r="O115" s="77">
        <v>5208.2999999999993</v>
      </c>
      <c r="P115" s="77">
        <v>3936.1</v>
      </c>
      <c r="Q115" s="40">
        <f t="shared" si="34"/>
        <v>4950.1749999999993</v>
      </c>
      <c r="R115" s="16">
        <f t="shared" si="31"/>
        <v>4963.6791666666659</v>
      </c>
      <c r="T115" s="6">
        <f t="shared" si="28"/>
        <v>2.6327828374674414E-2</v>
      </c>
      <c r="V115" s="23">
        <f>+claims!D115</f>
        <v>58</v>
      </c>
      <c r="W115" s="23">
        <f>+claims!E115</f>
        <v>78</v>
      </c>
      <c r="X115" s="23">
        <f>+claims!F115</f>
        <v>67</v>
      </c>
      <c r="Z115" s="6">
        <f t="shared" si="32"/>
        <v>1.1570264420439472E-2</v>
      </c>
      <c r="AA115" s="6">
        <f t="shared" si="33"/>
        <v>1.5727867563289543E-2</v>
      </c>
      <c r="AB115" s="6">
        <f t="shared" si="35"/>
        <v>1.353487502967067E-2</v>
      </c>
      <c r="AD115" s="6">
        <f t="shared" si="16"/>
        <v>1.393843743933843E-2</v>
      </c>
    </row>
    <row r="116" spans="1:30">
      <c r="A116" t="s">
        <v>179</v>
      </c>
      <c r="B116" t="s">
        <v>180</v>
      </c>
      <c r="C116" s="77">
        <v>2540</v>
      </c>
      <c r="D116" s="77">
        <v>2417.6999999999998</v>
      </c>
      <c r="E116" s="77">
        <v>2527.1999999999998</v>
      </c>
      <c r="F116" s="77">
        <v>1887.6</v>
      </c>
      <c r="G116" s="40">
        <f t="shared" si="29"/>
        <v>2343.125</v>
      </c>
      <c r="H116" s="77">
        <v>2645.7</v>
      </c>
      <c r="I116" s="77">
        <v>2531.5</v>
      </c>
      <c r="J116" s="77">
        <v>2635.1000000000004</v>
      </c>
      <c r="K116" s="77">
        <v>1919.3999999999999</v>
      </c>
      <c r="L116" s="40">
        <f t="shared" si="30"/>
        <v>2432.9250000000002</v>
      </c>
      <c r="M116" s="77">
        <v>2667.1000000000004</v>
      </c>
      <c r="N116" s="77">
        <v>2523.6999999999998</v>
      </c>
      <c r="O116" s="77">
        <v>2682.1000000000004</v>
      </c>
      <c r="P116" s="77">
        <v>1981.3</v>
      </c>
      <c r="Q116" s="40">
        <f t="shared" si="34"/>
        <v>2463.5500000000002</v>
      </c>
      <c r="R116" s="16">
        <f t="shared" si="31"/>
        <v>2433.2708333333335</v>
      </c>
      <c r="T116" s="6">
        <f t="shared" si="28"/>
        <v>1.2906300898597765E-2</v>
      </c>
      <c r="V116" s="23">
        <f>+claims!D116</f>
        <v>17</v>
      </c>
      <c r="W116" s="23">
        <f>+claims!E116</f>
        <v>18</v>
      </c>
      <c r="X116" s="23">
        <f>+claims!F116</f>
        <v>22</v>
      </c>
      <c r="Z116" s="6">
        <f t="shared" si="32"/>
        <v>7.2552680714857293E-3</v>
      </c>
      <c r="AA116" s="6">
        <f t="shared" si="33"/>
        <v>7.3985018033848144E-3</v>
      </c>
      <c r="AB116" s="6">
        <f t="shared" si="35"/>
        <v>8.9302023502668901E-3</v>
      </c>
      <c r="AD116" s="6">
        <f t="shared" si="16"/>
        <v>8.1404797881760044E-3</v>
      </c>
    </row>
    <row r="117" spans="1:30">
      <c r="A117" t="s">
        <v>181</v>
      </c>
      <c r="B117" s="36" t="s">
        <v>558</v>
      </c>
      <c r="C117" s="77">
        <v>4557.8999999999996</v>
      </c>
      <c r="D117" s="77">
        <v>4438.8999999999996</v>
      </c>
      <c r="E117" s="77">
        <v>4508.8999999999996</v>
      </c>
      <c r="F117" s="77">
        <v>3336.3</v>
      </c>
      <c r="G117" s="40">
        <f t="shared" si="29"/>
        <v>4210.5</v>
      </c>
      <c r="H117" s="77">
        <v>4662.6000000000004</v>
      </c>
      <c r="I117" s="77">
        <v>4548.3999999999996</v>
      </c>
      <c r="J117" s="77">
        <v>4683.3</v>
      </c>
      <c r="K117" s="77">
        <v>3502.7</v>
      </c>
      <c r="L117" s="40">
        <f t="shared" si="30"/>
        <v>4349.25</v>
      </c>
      <c r="M117" s="77">
        <v>4957.2</v>
      </c>
      <c r="N117" s="77">
        <v>4724.5</v>
      </c>
      <c r="O117" s="77">
        <v>4862.5</v>
      </c>
      <c r="P117" s="77">
        <v>3640.7</v>
      </c>
      <c r="Q117" s="40">
        <f t="shared" si="34"/>
        <v>4546.2250000000004</v>
      </c>
      <c r="R117" s="16">
        <f t="shared" si="31"/>
        <v>4424.6125000000002</v>
      </c>
      <c r="T117" s="6">
        <f t="shared" si="28"/>
        <v>2.3468567289103754E-2</v>
      </c>
      <c r="V117" s="23">
        <f>+claims!D117</f>
        <v>64</v>
      </c>
      <c r="W117" s="23">
        <f>+claims!E117</f>
        <v>62</v>
      </c>
      <c r="X117" s="23">
        <f>+claims!F117</f>
        <v>64</v>
      </c>
      <c r="Z117" s="6">
        <f t="shared" si="32"/>
        <v>1.5200095000593754E-2</v>
      </c>
      <c r="AA117" s="6">
        <f t="shared" si="33"/>
        <v>1.4255331378973387E-2</v>
      </c>
      <c r="AB117" s="6">
        <f t="shared" si="35"/>
        <v>1.4077613844453364E-2</v>
      </c>
      <c r="AD117" s="6">
        <f t="shared" si="16"/>
        <v>1.432393321531677E-2</v>
      </c>
    </row>
    <row r="118" spans="1:30">
      <c r="A118" t="s">
        <v>182</v>
      </c>
      <c r="B118" t="s">
        <v>183</v>
      </c>
      <c r="C118" s="40">
        <v>1967.9</v>
      </c>
      <c r="D118" s="40">
        <v>1840.7</v>
      </c>
      <c r="E118" s="40">
        <v>1842.5</v>
      </c>
      <c r="F118" s="40">
        <v>1348.7</v>
      </c>
      <c r="G118" s="40">
        <f t="shared" si="29"/>
        <v>1749.95</v>
      </c>
      <c r="H118" s="40">
        <v>1992.4</v>
      </c>
      <c r="I118" s="40">
        <v>1858.2</v>
      </c>
      <c r="J118" s="40">
        <v>1835.1</v>
      </c>
      <c r="K118" s="40">
        <v>1326.8</v>
      </c>
      <c r="L118" s="40">
        <f t="shared" si="30"/>
        <v>1753.1250000000002</v>
      </c>
      <c r="M118" s="40">
        <v>1929.4</v>
      </c>
      <c r="N118" s="40">
        <v>1834.1</v>
      </c>
      <c r="O118" s="40">
        <v>1845.1000000000001</v>
      </c>
      <c r="P118" s="40">
        <v>1309.5</v>
      </c>
      <c r="Q118" s="40">
        <f t="shared" si="34"/>
        <v>1729.5250000000001</v>
      </c>
      <c r="R118" s="16">
        <f t="shared" si="31"/>
        <v>1740.7958333333336</v>
      </c>
      <c r="T118" s="6">
        <f t="shared" si="28"/>
        <v>9.2333473611925978E-3</v>
      </c>
      <c r="V118" s="23">
        <f>+claims!D118</f>
        <v>26</v>
      </c>
      <c r="W118" s="23">
        <f>+claims!E118</f>
        <v>22</v>
      </c>
      <c r="X118" s="23">
        <f>+claims!F118</f>
        <v>31</v>
      </c>
      <c r="Z118" s="6">
        <f t="shared" si="32"/>
        <v>1.4857567359067401E-2</v>
      </c>
      <c r="AA118" s="6">
        <f t="shared" si="33"/>
        <v>1.2549019607843135E-2</v>
      </c>
      <c r="AB118" s="6">
        <f t="shared" si="35"/>
        <v>1.7923996473020048E-2</v>
      </c>
      <c r="AD118" s="6">
        <f t="shared" si="16"/>
        <v>1.5621265998968967E-2</v>
      </c>
    </row>
    <row r="119" spans="1:30">
      <c r="A119" t="s">
        <v>184</v>
      </c>
      <c r="B119" t="s">
        <v>185</v>
      </c>
      <c r="C119" s="40">
        <v>526.20000000000005</v>
      </c>
      <c r="D119" s="40">
        <v>492.3</v>
      </c>
      <c r="E119" s="40">
        <v>530.5</v>
      </c>
      <c r="F119" s="40">
        <v>445.3</v>
      </c>
      <c r="G119" s="40">
        <f t="shared" si="29"/>
        <v>498.57499999999999</v>
      </c>
      <c r="H119" s="40">
        <v>532.70000000000005</v>
      </c>
      <c r="I119" s="40">
        <v>508.3</v>
      </c>
      <c r="J119" s="40">
        <v>549.09999999999991</v>
      </c>
      <c r="K119" s="40">
        <v>454</v>
      </c>
      <c r="L119" s="40">
        <f t="shared" si="30"/>
        <v>511.02499999999998</v>
      </c>
      <c r="M119" s="40">
        <v>568.80000000000007</v>
      </c>
      <c r="N119" s="40">
        <v>520.79999999999995</v>
      </c>
      <c r="O119" s="40">
        <v>554.1</v>
      </c>
      <c r="P119" s="40">
        <v>449.5</v>
      </c>
      <c r="Q119" s="40">
        <f t="shared" si="34"/>
        <v>523.29999999999995</v>
      </c>
      <c r="R119" s="16">
        <f t="shared" si="31"/>
        <v>515.08749999999998</v>
      </c>
      <c r="T119" s="6">
        <f t="shared" si="28"/>
        <v>2.7320732953510004E-3</v>
      </c>
      <c r="V119" s="23">
        <f>+claims!D119</f>
        <v>3</v>
      </c>
      <c r="W119" s="23">
        <f>+claims!E119</f>
        <v>9</v>
      </c>
      <c r="X119" s="23">
        <f>+claims!F119</f>
        <v>10</v>
      </c>
      <c r="Z119" s="6">
        <f t="shared" si="32"/>
        <v>6.0171488742917318E-3</v>
      </c>
      <c r="AA119" s="6">
        <f t="shared" si="33"/>
        <v>1.7611662834499293E-2</v>
      </c>
      <c r="AB119" s="6">
        <f t="shared" si="35"/>
        <v>1.910949742021785E-2</v>
      </c>
      <c r="AD119" s="6">
        <f t="shared" si="16"/>
        <v>1.6428161133990645E-2</v>
      </c>
    </row>
    <row r="120" spans="1:30">
      <c r="A120" t="s">
        <v>186</v>
      </c>
      <c r="B120" t="s">
        <v>539</v>
      </c>
      <c r="C120" s="76">
        <v>20.7</v>
      </c>
      <c r="D120" s="76">
        <v>21.1</v>
      </c>
      <c r="E120" s="76">
        <v>21.5</v>
      </c>
      <c r="F120" s="76">
        <v>21.5</v>
      </c>
      <c r="G120" s="40">
        <f t="shared" si="29"/>
        <v>21.2</v>
      </c>
      <c r="H120" s="76">
        <v>21.5</v>
      </c>
      <c r="I120" s="76">
        <v>22.2</v>
      </c>
      <c r="J120" s="76">
        <v>24.2</v>
      </c>
      <c r="K120" s="76">
        <v>24.5</v>
      </c>
      <c r="L120" s="40">
        <f t="shared" si="30"/>
        <v>23.1</v>
      </c>
      <c r="M120" s="76">
        <v>23.6</v>
      </c>
      <c r="N120" s="76">
        <v>23.9</v>
      </c>
      <c r="O120" s="76">
        <v>23.9</v>
      </c>
      <c r="P120" s="76">
        <v>24.5</v>
      </c>
      <c r="Q120" s="40">
        <f t="shared" si="34"/>
        <v>23.975000000000001</v>
      </c>
      <c r="R120" s="16">
        <f t="shared" si="31"/>
        <v>23.220833333333335</v>
      </c>
      <c r="T120" s="6">
        <f t="shared" si="28"/>
        <v>1.231655177922127E-4</v>
      </c>
      <c r="V120" s="23">
        <f>+claims!D120</f>
        <v>0</v>
      </c>
      <c r="W120" s="23">
        <f>+claims!E120</f>
        <v>0</v>
      </c>
      <c r="X120" s="23">
        <f>+claims!F120</f>
        <v>0</v>
      </c>
      <c r="Z120" s="6">
        <f t="shared" si="32"/>
        <v>0</v>
      </c>
      <c r="AA120" s="6">
        <f t="shared" si="33"/>
        <v>0</v>
      </c>
      <c r="AB120" s="6">
        <f t="shared" si="35"/>
        <v>0</v>
      </c>
      <c r="AD120" s="6">
        <f t="shared" si="16"/>
        <v>0</v>
      </c>
    </row>
    <row r="121" spans="1:30">
      <c r="A121" t="s">
        <v>187</v>
      </c>
      <c r="B121" t="s">
        <v>188</v>
      </c>
      <c r="C121" s="77">
        <v>1040.3</v>
      </c>
      <c r="D121" s="77">
        <v>1025.5</v>
      </c>
      <c r="E121" s="77">
        <v>1021.7</v>
      </c>
      <c r="F121" s="76">
        <v>754.3</v>
      </c>
      <c r="G121" s="40">
        <f t="shared" si="29"/>
        <v>960.45</v>
      </c>
      <c r="H121" s="77">
        <v>1128.3</v>
      </c>
      <c r="I121" s="77">
        <v>1094</v>
      </c>
      <c r="J121" s="77">
        <v>1091.5999999999999</v>
      </c>
      <c r="K121" s="76">
        <v>766.7</v>
      </c>
      <c r="L121" s="40">
        <f t="shared" si="30"/>
        <v>1020.1500000000001</v>
      </c>
      <c r="M121" s="77">
        <v>1195.0999999999999</v>
      </c>
      <c r="N121" s="77">
        <v>1183.5999999999999</v>
      </c>
      <c r="O121" s="77">
        <v>1155.0999999999999</v>
      </c>
      <c r="P121" s="76">
        <v>847.7</v>
      </c>
      <c r="Q121" s="40">
        <f t="shared" si="34"/>
        <v>1095.375</v>
      </c>
      <c r="R121" s="16">
        <f t="shared" si="31"/>
        <v>1047.8125</v>
      </c>
      <c r="T121" s="6">
        <f t="shared" si="28"/>
        <v>5.5576975752371595E-3</v>
      </c>
      <c r="V121" s="23">
        <f>+claims!D121</f>
        <v>18</v>
      </c>
      <c r="W121" s="23">
        <f>+claims!E121</f>
        <v>16</v>
      </c>
      <c r="X121" s="23">
        <f>+claims!F121</f>
        <v>17</v>
      </c>
      <c r="Z121" s="6">
        <f t="shared" si="32"/>
        <v>1.874121505544276E-2</v>
      </c>
      <c r="AA121" s="6">
        <f t="shared" si="33"/>
        <v>1.5683968043915111E-2</v>
      </c>
      <c r="AB121" s="6">
        <f t="shared" si="35"/>
        <v>1.551979915554034E-2</v>
      </c>
      <c r="AD121" s="6">
        <f t="shared" si="16"/>
        <v>1.6111424768315667E-2</v>
      </c>
    </row>
    <row r="122" spans="1:30">
      <c r="A122" t="s">
        <v>189</v>
      </c>
      <c r="B122" t="s">
        <v>190</v>
      </c>
      <c r="C122" s="77">
        <v>1557.3</v>
      </c>
      <c r="D122" s="77">
        <v>1568.1</v>
      </c>
      <c r="E122" s="77">
        <v>1607.8</v>
      </c>
      <c r="F122" s="77">
        <v>1654.1</v>
      </c>
      <c r="G122" s="40">
        <f t="shared" si="29"/>
        <v>1596.8249999999998</v>
      </c>
      <c r="H122" s="77">
        <v>1670.5</v>
      </c>
      <c r="I122" s="77">
        <v>1663.7</v>
      </c>
      <c r="J122" s="77">
        <v>1658.6999999999998</v>
      </c>
      <c r="K122" s="77">
        <v>1645.4</v>
      </c>
      <c r="L122" s="40">
        <f t="shared" si="30"/>
        <v>1659.5749999999998</v>
      </c>
      <c r="M122" s="77">
        <v>1609.8</v>
      </c>
      <c r="N122" s="77">
        <v>1559.4</v>
      </c>
      <c r="O122" s="77">
        <v>1578</v>
      </c>
      <c r="P122" s="77">
        <v>1563.9</v>
      </c>
      <c r="Q122" s="40">
        <f t="shared" si="34"/>
        <v>1577.7750000000001</v>
      </c>
      <c r="R122" s="16">
        <f t="shared" si="31"/>
        <v>1608.2166666666665</v>
      </c>
      <c r="T122" s="6">
        <f t="shared" si="28"/>
        <v>8.5301347987252682E-3</v>
      </c>
      <c r="V122" s="23">
        <f>+claims!D122</f>
        <v>10</v>
      </c>
      <c r="W122" s="23">
        <f>+claims!E122</f>
        <v>9</v>
      </c>
      <c r="X122" s="23">
        <f>+claims!F122</f>
        <v>15</v>
      </c>
      <c r="Z122" s="6">
        <f t="shared" si="32"/>
        <v>6.2624270035852398E-3</v>
      </c>
      <c r="AA122" s="6">
        <f t="shared" si="33"/>
        <v>5.4230751849118006E-3</v>
      </c>
      <c r="AB122" s="6">
        <f t="shared" si="35"/>
        <v>9.50705899130104E-3</v>
      </c>
      <c r="AD122" s="6">
        <f t="shared" si="16"/>
        <v>7.6049590578853273E-3</v>
      </c>
    </row>
    <row r="123" spans="1:30">
      <c r="A123" t="s">
        <v>191</v>
      </c>
      <c r="B123" t="s">
        <v>540</v>
      </c>
      <c r="C123" s="76">
        <v>481</v>
      </c>
      <c r="D123" s="76">
        <v>476.2</v>
      </c>
      <c r="E123" s="76">
        <v>477.2</v>
      </c>
      <c r="F123" s="76">
        <v>381.7</v>
      </c>
      <c r="G123" s="40">
        <f t="shared" si="29"/>
        <v>454.02500000000003</v>
      </c>
      <c r="H123" s="76">
        <v>503.1</v>
      </c>
      <c r="I123" s="76">
        <v>482.5</v>
      </c>
      <c r="J123" s="76">
        <v>498</v>
      </c>
      <c r="K123" s="76">
        <v>388.29999999999995</v>
      </c>
      <c r="L123" s="40">
        <f t="shared" si="30"/>
        <v>467.97499999999997</v>
      </c>
      <c r="M123" s="76">
        <v>489.4</v>
      </c>
      <c r="N123" s="76">
        <v>478</v>
      </c>
      <c r="O123" s="76">
        <v>488.7</v>
      </c>
      <c r="P123" s="76">
        <v>392.7</v>
      </c>
      <c r="Q123" s="40">
        <f t="shared" si="34"/>
        <v>462.2</v>
      </c>
      <c r="R123" s="16">
        <f t="shared" si="31"/>
        <v>462.76249999999999</v>
      </c>
      <c r="T123" s="6">
        <f t="shared" si="28"/>
        <v>2.4545364978569026E-3</v>
      </c>
      <c r="V123" s="23">
        <f>+claims!D123</f>
        <v>4</v>
      </c>
      <c r="W123" s="23">
        <f>+claims!E123</f>
        <v>7</v>
      </c>
      <c r="X123" s="23">
        <f>+claims!F123</f>
        <v>5</v>
      </c>
      <c r="Z123" s="6">
        <f t="shared" si="32"/>
        <v>8.8100875502450295E-3</v>
      </c>
      <c r="AA123" s="6">
        <f t="shared" si="33"/>
        <v>1.4958063999145255E-2</v>
      </c>
      <c r="AB123" s="6">
        <f t="shared" si="35"/>
        <v>1.0817827780181739E-2</v>
      </c>
      <c r="AD123" s="6">
        <f t="shared" si="16"/>
        <v>1.1863283148180125E-2</v>
      </c>
    </row>
    <row r="124" spans="1:30">
      <c r="A124" t="s">
        <v>480</v>
      </c>
      <c r="B124" t="s">
        <v>481</v>
      </c>
      <c r="C124" s="76">
        <v>397.1</v>
      </c>
      <c r="D124" s="76">
        <v>412.8</v>
      </c>
      <c r="E124" s="76">
        <v>418.2</v>
      </c>
      <c r="F124" s="76">
        <v>430.1</v>
      </c>
      <c r="G124" s="40">
        <f t="shared" si="29"/>
        <v>414.55000000000007</v>
      </c>
      <c r="H124" s="76">
        <v>433</v>
      </c>
      <c r="I124" s="76">
        <v>463.4</v>
      </c>
      <c r="J124" s="76">
        <v>500.70000000000005</v>
      </c>
      <c r="K124" s="76">
        <v>531.6</v>
      </c>
      <c r="L124" s="40">
        <f t="shared" si="30"/>
        <v>482.17499999999995</v>
      </c>
      <c r="M124" s="76">
        <v>510.7</v>
      </c>
      <c r="N124" s="76">
        <v>514.5</v>
      </c>
      <c r="O124" s="76">
        <v>517</v>
      </c>
      <c r="P124" s="76">
        <v>543.79999999999995</v>
      </c>
      <c r="Q124" s="40">
        <f t="shared" si="34"/>
        <v>521.5</v>
      </c>
      <c r="R124" s="16">
        <f>IF(G124&gt;0,(+G124+(L124*2)+(Q124*3))/6,IF(L124&gt;0,((L124*2)+(Q124*3))/5,Q124))</f>
        <v>490.56666666666666</v>
      </c>
      <c r="T124" s="6">
        <f t="shared" si="28"/>
        <v>2.6020124533974441E-3</v>
      </c>
      <c r="V124" s="23">
        <f>+claims!D124</f>
        <v>4</v>
      </c>
      <c r="W124" s="23">
        <f>+claims!E124</f>
        <v>4</v>
      </c>
      <c r="X124" s="23">
        <f>+claims!F124</f>
        <v>1</v>
      </c>
      <c r="Z124" s="6">
        <f>IF(G124&gt;100,IF(V124&lt;1,0,+V124/G124),IF(V124&lt;1,0,+V124/100))</f>
        <v>9.6490170063924727E-3</v>
      </c>
      <c r="AA124" s="6">
        <f>IF(L124&gt;100,IF(W124&lt;1,0,+W124/L124),IF(W124&lt;1,0,+W124/100))</f>
        <v>8.2957432467465134E-3</v>
      </c>
      <c r="AB124" s="6">
        <f>IF(Q124&gt;100,IF(X124&lt;1,0,+X124/Q124),IF(X124&lt;1,0,+X124/100))</f>
        <v>1.9175455417066154E-3</v>
      </c>
      <c r="AD124" s="6">
        <f t="shared" si="16"/>
        <v>5.3321900208342238E-3</v>
      </c>
    </row>
    <row r="125" spans="1:30">
      <c r="A125" t="s">
        <v>192</v>
      </c>
      <c r="B125" t="s">
        <v>500</v>
      </c>
      <c r="C125" s="76">
        <v>408.8</v>
      </c>
      <c r="D125" s="76">
        <v>396.4</v>
      </c>
      <c r="E125" s="76">
        <v>402</v>
      </c>
      <c r="F125" s="76">
        <v>307.39999999999998</v>
      </c>
      <c r="G125" s="40">
        <f t="shared" si="29"/>
        <v>378.65</v>
      </c>
      <c r="H125" s="76">
        <v>417.1</v>
      </c>
      <c r="I125" s="76">
        <v>380.5</v>
      </c>
      <c r="J125" s="76">
        <v>396.9</v>
      </c>
      <c r="K125" s="76">
        <v>312.8</v>
      </c>
      <c r="L125" s="40">
        <f t="shared" si="30"/>
        <v>376.82499999999999</v>
      </c>
      <c r="M125" s="76">
        <v>394.1</v>
      </c>
      <c r="N125" s="76">
        <v>385.2</v>
      </c>
      <c r="O125" s="76">
        <v>397.6</v>
      </c>
      <c r="P125" s="76">
        <v>293.7</v>
      </c>
      <c r="Q125" s="40">
        <f t="shared" si="34"/>
        <v>367.65000000000003</v>
      </c>
      <c r="R125" s="16">
        <f t="shared" si="31"/>
        <v>372.54166666666669</v>
      </c>
      <c r="T125" s="6">
        <f t="shared" si="28"/>
        <v>1.9759965809800356E-3</v>
      </c>
      <c r="V125" s="23">
        <f>+claims!D125</f>
        <v>12</v>
      </c>
      <c r="W125" s="23">
        <f>+claims!E125</f>
        <v>10</v>
      </c>
      <c r="X125" s="23">
        <f>+claims!F125</f>
        <v>13</v>
      </c>
      <c r="Z125" s="6">
        <f t="shared" si="32"/>
        <v>3.1691535719001719E-2</v>
      </c>
      <c r="AA125" s="6">
        <f t="shared" si="33"/>
        <v>2.6537517415245803E-2</v>
      </c>
      <c r="AB125" s="6">
        <f t="shared" si="35"/>
        <v>3.5359717122263018E-2</v>
      </c>
      <c r="AD125" s="6">
        <f t="shared" si="16"/>
        <v>3.1807620319380399E-2</v>
      </c>
    </row>
    <row r="126" spans="1:30">
      <c r="A126" t="s">
        <v>193</v>
      </c>
      <c r="B126" t="s">
        <v>194</v>
      </c>
      <c r="C126" s="76">
        <v>457.5</v>
      </c>
      <c r="D126" s="76">
        <v>455.2</v>
      </c>
      <c r="E126" s="76">
        <v>443.1</v>
      </c>
      <c r="F126" s="76">
        <v>378.1</v>
      </c>
      <c r="G126" s="40">
        <f t="shared" si="29"/>
        <v>433.47500000000002</v>
      </c>
      <c r="H126" s="76">
        <v>455.9</v>
      </c>
      <c r="I126" s="76">
        <v>468</v>
      </c>
      <c r="J126" s="76">
        <v>452.6</v>
      </c>
      <c r="K126" s="76">
        <v>388.9</v>
      </c>
      <c r="L126" s="40">
        <f t="shared" si="30"/>
        <v>441.35</v>
      </c>
      <c r="M126" s="76">
        <v>449.1</v>
      </c>
      <c r="N126" s="76">
        <v>447.3</v>
      </c>
      <c r="O126" s="76">
        <v>445.2</v>
      </c>
      <c r="P126" s="76">
        <v>391.7</v>
      </c>
      <c r="Q126" s="40">
        <f t="shared" si="34"/>
        <v>433.32500000000005</v>
      </c>
      <c r="R126" s="16">
        <f t="shared" si="31"/>
        <v>436.02500000000009</v>
      </c>
      <c r="T126" s="6">
        <f t="shared" si="28"/>
        <v>2.312718244192337E-3</v>
      </c>
      <c r="V126" s="23">
        <f>+claims!D126</f>
        <v>19</v>
      </c>
      <c r="W126" s="23">
        <f>+claims!E126</f>
        <v>21</v>
      </c>
      <c r="X126" s="23">
        <f>+claims!F126</f>
        <v>22</v>
      </c>
      <c r="Z126" s="6">
        <f t="shared" si="32"/>
        <v>4.3831824211315526E-2</v>
      </c>
      <c r="AA126" s="6">
        <f t="shared" si="33"/>
        <v>4.7581284694686754E-2</v>
      </c>
      <c r="AB126" s="6">
        <f t="shared" si="35"/>
        <v>5.0770207119367673E-2</v>
      </c>
      <c r="AD126" s="6">
        <f t="shared" si="16"/>
        <v>4.8550835826465348E-2</v>
      </c>
    </row>
    <row r="127" spans="1:30">
      <c r="A127" t="s">
        <v>551</v>
      </c>
      <c r="B127" t="s">
        <v>552</v>
      </c>
      <c r="C127" s="76">
        <v>200</v>
      </c>
      <c r="D127" s="76">
        <v>196.9</v>
      </c>
      <c r="E127" s="76">
        <v>200.3</v>
      </c>
      <c r="F127" s="76">
        <v>152.6</v>
      </c>
      <c r="G127" s="40">
        <f t="shared" si="29"/>
        <v>187.45000000000002</v>
      </c>
      <c r="H127" s="76">
        <v>211.7</v>
      </c>
      <c r="I127" s="76">
        <v>206.2</v>
      </c>
      <c r="J127" s="76">
        <v>210.39999999999998</v>
      </c>
      <c r="K127" s="76">
        <v>167.1</v>
      </c>
      <c r="L127" s="40">
        <f>AVERAGE(H127:K127)</f>
        <v>198.85</v>
      </c>
      <c r="M127" s="76">
        <v>265.60000000000002</v>
      </c>
      <c r="N127" s="76">
        <v>265.39999999999998</v>
      </c>
      <c r="O127" s="76">
        <v>277.89999999999998</v>
      </c>
      <c r="P127" s="76">
        <v>211.5</v>
      </c>
      <c r="Q127" s="40">
        <f>AVERAGE(M127:P127)</f>
        <v>255.1</v>
      </c>
      <c r="R127" s="16">
        <f>IF(G127&gt;0,(+G127+(L127*2)+(Q127*3))/6,IF(L127&gt;0,((L127*2)+(Q127*3))/5,Q127))</f>
        <v>225.07499999999996</v>
      </c>
      <c r="T127" s="6">
        <f t="shared" si="28"/>
        <v>1.1938192966265467E-3</v>
      </c>
      <c r="V127" s="23">
        <f>+claims!D127</f>
        <v>3</v>
      </c>
      <c r="W127" s="23">
        <f>+claims!E127</f>
        <v>1</v>
      </c>
      <c r="X127" s="23">
        <f>+claims!F127</f>
        <v>1</v>
      </c>
      <c r="Z127" s="6">
        <f>IF(G127&gt;100,IF(V127&lt;1,0,+V127/G127),IF(V127&lt;1,0,+V127/100))</f>
        <v>1.6004267804747931E-2</v>
      </c>
      <c r="AA127" s="6">
        <f>IF(L127&gt;100,IF(W127&lt;1,0,+W127/L127),IF(W127&lt;1,0,+W127/100))</f>
        <v>5.0289162685441292E-3</v>
      </c>
      <c r="AB127" s="6">
        <f>IF(Q127&gt;100,IF(X127&lt;1,0,+X127/Q127),IF(X127&lt;1,0,+X127/100))</f>
        <v>3.9200313602508821E-3</v>
      </c>
      <c r="AD127" s="6">
        <f t="shared" si="16"/>
        <v>6.3036990704314726E-3</v>
      </c>
    </row>
    <row r="128" spans="1:30" s="50" customFormat="1">
      <c r="A128" s="52" t="s">
        <v>571</v>
      </c>
      <c r="B128" s="52" t="s">
        <v>563</v>
      </c>
      <c r="C128" s="76">
        <v>1518.6</v>
      </c>
      <c r="D128" s="76">
        <v>1518.6</v>
      </c>
      <c r="E128" s="76">
        <v>1518.6</v>
      </c>
      <c r="F128" s="76">
        <v>1759</v>
      </c>
      <c r="G128" s="40">
        <f t="shared" si="29"/>
        <v>1578.6999999999998</v>
      </c>
      <c r="H128" s="76">
        <v>1735</v>
      </c>
      <c r="I128" s="76">
        <v>1518</v>
      </c>
      <c r="J128" s="76">
        <v>1538</v>
      </c>
      <c r="K128" s="76">
        <v>1539</v>
      </c>
      <c r="L128" s="40">
        <f t="shared" ref="L128:L142" si="36">AVERAGE(H128:K128)</f>
        <v>1582.5</v>
      </c>
      <c r="M128" s="76">
        <v>1565.1</v>
      </c>
      <c r="N128" s="76">
        <v>1599</v>
      </c>
      <c r="O128" s="76">
        <v>1605</v>
      </c>
      <c r="P128" s="76">
        <v>1631.8000000000002</v>
      </c>
      <c r="Q128" s="40">
        <f>AVERAGE(M128:P128)</f>
        <v>1600.2250000000001</v>
      </c>
      <c r="R128" s="16">
        <f>IF(G128&gt;0,(+G128+(L128*2)+(Q128*3))/6,IF(L128&gt;0,((L128*2)+(Q128*3))/5,Q128))</f>
        <v>1590.7291666666667</v>
      </c>
      <c r="T128" s="54">
        <f t="shared" si="28"/>
        <v>8.4373794285164203E-3</v>
      </c>
      <c r="V128" s="23">
        <f>+claims!D128</f>
        <v>42</v>
      </c>
      <c r="W128" s="23">
        <f>+claims!E128</f>
        <v>49</v>
      </c>
      <c r="X128" s="23">
        <f>+claims!F128</f>
        <v>34</v>
      </c>
      <c r="Z128" s="54">
        <f>IF(G128&gt;100,IF(V128&lt;1,0,+V128/G128),IF(V128&lt;1,0,+V128/100))</f>
        <v>2.6604167986317859E-2</v>
      </c>
      <c r="AA128" s="54">
        <f>IF(L128&gt;100,IF(W128&lt;1,0,+W128/L128),IF(W128&lt;1,0,+W128/100))</f>
        <v>3.0963665086887835E-2</v>
      </c>
      <c r="AB128" s="54">
        <f>IF(Q128&gt;100,IF(X128&lt;1,0,+X128/Q128),IF(X128&lt;1,0,+X128/100))</f>
        <v>2.1247012138917963E-2</v>
      </c>
      <c r="AD128" s="54">
        <f t="shared" si="16"/>
        <v>2.5378755762807903E-2</v>
      </c>
    </row>
    <row r="129" spans="1:30">
      <c r="A129" t="s">
        <v>195</v>
      </c>
      <c r="B129" t="s">
        <v>196</v>
      </c>
      <c r="C129" s="76">
        <v>230.4</v>
      </c>
      <c r="D129" s="76">
        <v>235.5</v>
      </c>
      <c r="E129" s="76">
        <v>230.3</v>
      </c>
      <c r="F129" s="76">
        <v>229.8</v>
      </c>
      <c r="G129" s="40">
        <f t="shared" si="29"/>
        <v>231.5</v>
      </c>
      <c r="H129" s="76">
        <v>228.9</v>
      </c>
      <c r="I129" s="76">
        <v>226</v>
      </c>
      <c r="J129" s="76">
        <v>228.1</v>
      </c>
      <c r="K129" s="76">
        <v>230</v>
      </c>
      <c r="L129" s="40">
        <f t="shared" si="36"/>
        <v>228.25</v>
      </c>
      <c r="M129" s="76">
        <v>232</v>
      </c>
      <c r="N129" s="76">
        <v>227.8</v>
      </c>
      <c r="O129" s="76">
        <v>231.7</v>
      </c>
      <c r="P129" s="76">
        <v>235</v>
      </c>
      <c r="Q129" s="40">
        <f t="shared" si="34"/>
        <v>231.625</v>
      </c>
      <c r="R129" s="16">
        <f t="shared" si="31"/>
        <v>230.47916666666666</v>
      </c>
      <c r="T129" s="6">
        <f t="shared" si="28"/>
        <v>1.2224835127716213E-3</v>
      </c>
      <c r="V129" s="23">
        <f>+claims!D129</f>
        <v>1</v>
      </c>
      <c r="W129" s="23">
        <f>+claims!E129</f>
        <v>2</v>
      </c>
      <c r="X129" s="23">
        <f>+claims!F129</f>
        <v>0</v>
      </c>
      <c r="Z129" s="6">
        <f t="shared" si="32"/>
        <v>4.3196544276457886E-3</v>
      </c>
      <c r="AA129" s="6">
        <f t="shared" si="33"/>
        <v>8.7623220153340634E-3</v>
      </c>
      <c r="AB129" s="6">
        <f t="shared" si="35"/>
        <v>0</v>
      </c>
      <c r="AD129" s="6">
        <f t="shared" ref="AD129:AD191" si="37">(+Z129+(AA129*2)+(AB129*3))/6</f>
        <v>3.6407164097189862E-3</v>
      </c>
    </row>
    <row r="130" spans="1:30">
      <c r="A130" t="s">
        <v>197</v>
      </c>
      <c r="B130" t="s">
        <v>541</v>
      </c>
      <c r="C130" s="76">
        <v>60.8</v>
      </c>
      <c r="D130" s="76">
        <v>59.3</v>
      </c>
      <c r="E130" s="76">
        <v>58.2</v>
      </c>
      <c r="F130" s="76">
        <v>59.5</v>
      </c>
      <c r="G130" s="40">
        <f t="shared" si="29"/>
        <v>59.45</v>
      </c>
      <c r="H130" s="76">
        <v>59.7</v>
      </c>
      <c r="I130" s="76">
        <v>61.1</v>
      </c>
      <c r="J130" s="76">
        <v>61.6</v>
      </c>
      <c r="K130" s="76">
        <v>57.5</v>
      </c>
      <c r="L130" s="40">
        <f t="shared" si="36"/>
        <v>59.975000000000001</v>
      </c>
      <c r="M130" s="76">
        <v>57.2</v>
      </c>
      <c r="N130" s="76">
        <v>60.6</v>
      </c>
      <c r="O130" s="76">
        <v>61</v>
      </c>
      <c r="P130" s="76">
        <v>60.4</v>
      </c>
      <c r="Q130" s="40">
        <f t="shared" si="34"/>
        <v>59.800000000000004</v>
      </c>
      <c r="R130" s="16">
        <f t="shared" si="31"/>
        <v>59.800000000000004</v>
      </c>
      <c r="T130" s="6">
        <f t="shared" ref="T130:T193" si="38">+R130/$R$264</f>
        <v>3.1718491142182612E-4</v>
      </c>
      <c r="V130" s="23">
        <f>+claims!D130</f>
        <v>0</v>
      </c>
      <c r="W130" s="23">
        <f>+claims!E130</f>
        <v>0</v>
      </c>
      <c r="X130" s="23">
        <f>+claims!F130</f>
        <v>1</v>
      </c>
      <c r="Z130" s="6">
        <f t="shared" si="32"/>
        <v>0</v>
      </c>
      <c r="AA130" s="6">
        <f t="shared" si="33"/>
        <v>0</v>
      </c>
      <c r="AB130" s="6">
        <f t="shared" si="35"/>
        <v>0.01</v>
      </c>
      <c r="AD130" s="6">
        <f t="shared" si="37"/>
        <v>5.0000000000000001E-3</v>
      </c>
    </row>
    <row r="131" spans="1:30">
      <c r="A131" t="s">
        <v>198</v>
      </c>
      <c r="B131" t="s">
        <v>199</v>
      </c>
      <c r="C131" s="77">
        <v>1087.2</v>
      </c>
      <c r="D131" s="77">
        <v>1045.5999999999999</v>
      </c>
      <c r="E131" s="77">
        <v>1115.2</v>
      </c>
      <c r="F131" s="76">
        <v>797.8</v>
      </c>
      <c r="G131" s="40">
        <f t="shared" si="29"/>
        <v>1011.45</v>
      </c>
      <c r="H131" s="77">
        <v>1148.4000000000001</v>
      </c>
      <c r="I131" s="77">
        <v>1113.0999999999999</v>
      </c>
      <c r="J131" s="77">
        <v>1158.5</v>
      </c>
      <c r="K131" s="76">
        <v>832.40000000000009</v>
      </c>
      <c r="L131" s="40">
        <f t="shared" si="36"/>
        <v>1063.0999999999999</v>
      </c>
      <c r="M131" s="77">
        <v>1200.6999999999998</v>
      </c>
      <c r="N131" s="77">
        <v>1161.6999999999998</v>
      </c>
      <c r="O131" s="77">
        <v>1206.5</v>
      </c>
      <c r="P131" s="76">
        <v>891</v>
      </c>
      <c r="Q131" s="40">
        <f t="shared" si="34"/>
        <v>1114.9749999999999</v>
      </c>
      <c r="R131" s="16">
        <f t="shared" si="31"/>
        <v>1080.4291666666666</v>
      </c>
      <c r="T131" s="6">
        <f t="shared" si="38"/>
        <v>5.7306994904134448E-3</v>
      </c>
      <c r="V131" s="23">
        <f>+claims!D131</f>
        <v>12</v>
      </c>
      <c r="W131" s="23">
        <f>+claims!E131</f>
        <v>8</v>
      </c>
      <c r="X131" s="23">
        <f>+claims!F131</f>
        <v>5</v>
      </c>
      <c r="Z131" s="6">
        <f t="shared" si="32"/>
        <v>1.1864155420436007E-2</v>
      </c>
      <c r="AA131" s="6">
        <f t="shared" si="33"/>
        <v>7.5251622613112601E-3</v>
      </c>
      <c r="AB131" s="6">
        <f t="shared" si="35"/>
        <v>4.4844054799434967E-3</v>
      </c>
      <c r="AD131" s="6">
        <f t="shared" si="37"/>
        <v>6.7279493971481689E-3</v>
      </c>
    </row>
    <row r="132" spans="1:30">
      <c r="A132" t="s">
        <v>200</v>
      </c>
      <c r="B132" t="s">
        <v>542</v>
      </c>
      <c r="C132" s="76">
        <v>179</v>
      </c>
      <c r="D132" s="76">
        <v>174.6</v>
      </c>
      <c r="E132" s="76">
        <v>176.7</v>
      </c>
      <c r="F132" s="76">
        <v>127.2</v>
      </c>
      <c r="G132" s="40">
        <f t="shared" si="29"/>
        <v>164.375</v>
      </c>
      <c r="H132" s="76">
        <v>176.5</v>
      </c>
      <c r="I132" s="76">
        <v>172.9</v>
      </c>
      <c r="J132" s="76">
        <v>173.9</v>
      </c>
      <c r="K132" s="76">
        <v>128.4</v>
      </c>
      <c r="L132" s="40">
        <f t="shared" si="36"/>
        <v>162.92499999999998</v>
      </c>
      <c r="M132" s="76">
        <v>167.70000000000002</v>
      </c>
      <c r="N132" s="76">
        <v>167.7</v>
      </c>
      <c r="O132" s="76">
        <v>169.7</v>
      </c>
      <c r="P132" s="76">
        <v>131.1</v>
      </c>
      <c r="Q132" s="40">
        <f t="shared" si="34"/>
        <v>159.04999999999998</v>
      </c>
      <c r="R132" s="16">
        <f t="shared" si="31"/>
        <v>161.22916666666666</v>
      </c>
      <c r="T132" s="6">
        <f t="shared" si="38"/>
        <v>8.5517489879233276E-4</v>
      </c>
      <c r="V132" s="23">
        <f>+claims!D132</f>
        <v>2</v>
      </c>
      <c r="W132" s="23">
        <f>+claims!E132</f>
        <v>2</v>
      </c>
      <c r="X132" s="23">
        <f>+claims!F132</f>
        <v>3</v>
      </c>
      <c r="Z132" s="6">
        <f t="shared" si="32"/>
        <v>1.2167300380228136E-2</v>
      </c>
      <c r="AA132" s="6">
        <f t="shared" si="33"/>
        <v>1.2275586926499925E-2</v>
      </c>
      <c r="AB132" s="6">
        <f t="shared" si="35"/>
        <v>1.8861993083935873E-2</v>
      </c>
      <c r="AD132" s="6">
        <f t="shared" si="37"/>
        <v>1.5550742247505933E-2</v>
      </c>
    </row>
    <row r="133" spans="1:30">
      <c r="A133" t="s">
        <v>201</v>
      </c>
      <c r="B133" t="s">
        <v>543</v>
      </c>
      <c r="C133" s="76">
        <v>245</v>
      </c>
      <c r="D133" s="76">
        <v>232.5</v>
      </c>
      <c r="E133" s="76">
        <v>245</v>
      </c>
      <c r="F133" s="76">
        <v>209.6</v>
      </c>
      <c r="G133" s="40">
        <f t="shared" si="29"/>
        <v>233.02500000000001</v>
      </c>
      <c r="H133" s="76">
        <v>247.9</v>
      </c>
      <c r="I133" s="76">
        <v>218.9</v>
      </c>
      <c r="J133" s="76">
        <v>199.9</v>
      </c>
      <c r="K133" s="76">
        <v>164.1</v>
      </c>
      <c r="L133" s="40">
        <f t="shared" si="36"/>
        <v>207.70000000000002</v>
      </c>
      <c r="M133" s="76">
        <v>205.5</v>
      </c>
      <c r="N133" s="76">
        <v>197.29999999999998</v>
      </c>
      <c r="O133" s="76">
        <v>190.79999999999998</v>
      </c>
      <c r="P133" s="76">
        <v>165.2</v>
      </c>
      <c r="Q133" s="40">
        <f t="shared" si="34"/>
        <v>189.7</v>
      </c>
      <c r="R133" s="16">
        <f t="shared" si="31"/>
        <v>202.92083333333335</v>
      </c>
      <c r="T133" s="6">
        <f t="shared" si="38"/>
        <v>1.0763114807103089E-3</v>
      </c>
      <c r="V133" s="23">
        <f>+claims!D133</f>
        <v>2</v>
      </c>
      <c r="W133" s="23">
        <f>+claims!E133</f>
        <v>5</v>
      </c>
      <c r="X133" s="23">
        <f>+claims!F133</f>
        <v>1</v>
      </c>
      <c r="Z133" s="6">
        <f t="shared" si="32"/>
        <v>8.5827700890462391E-3</v>
      </c>
      <c r="AA133" s="6">
        <f t="shared" si="33"/>
        <v>2.4073182474723155E-2</v>
      </c>
      <c r="AB133" s="6">
        <f t="shared" si="35"/>
        <v>5.2714812862414339E-3</v>
      </c>
      <c r="AD133" s="6">
        <f t="shared" si="37"/>
        <v>1.2090596482869476E-2</v>
      </c>
    </row>
    <row r="134" spans="1:30">
      <c r="A134" t="s">
        <v>202</v>
      </c>
      <c r="B134" t="s">
        <v>501</v>
      </c>
      <c r="C134" s="76">
        <v>230.4</v>
      </c>
      <c r="D134" s="76">
        <v>215.5</v>
      </c>
      <c r="E134" s="76">
        <v>182.9</v>
      </c>
      <c r="F134" s="76">
        <v>180.2</v>
      </c>
      <c r="G134" s="40">
        <f t="shared" si="29"/>
        <v>202.25</v>
      </c>
      <c r="H134" s="76">
        <v>218.60000000000002</v>
      </c>
      <c r="I134" s="76">
        <v>204.1</v>
      </c>
      <c r="J134" s="76">
        <v>214.79999999999998</v>
      </c>
      <c r="K134" s="76">
        <v>177.6</v>
      </c>
      <c r="L134" s="40">
        <f t="shared" si="36"/>
        <v>203.77500000000001</v>
      </c>
      <c r="M134" s="76">
        <v>228.4</v>
      </c>
      <c r="N134" s="76">
        <v>224.4</v>
      </c>
      <c r="O134" s="76">
        <v>230.9</v>
      </c>
      <c r="P134" s="76">
        <v>188.9</v>
      </c>
      <c r="Q134" s="40">
        <f t="shared" si="34"/>
        <v>218.15</v>
      </c>
      <c r="R134" s="16">
        <f t="shared" si="31"/>
        <v>210.70833333333334</v>
      </c>
      <c r="T134" s="6">
        <f t="shared" si="38"/>
        <v>1.1176171244845141E-3</v>
      </c>
      <c r="V134" s="23">
        <f>+claims!D134</f>
        <v>2</v>
      </c>
      <c r="W134" s="23">
        <f>+claims!E134</f>
        <v>1</v>
      </c>
      <c r="X134" s="23">
        <f>+claims!F134</f>
        <v>6</v>
      </c>
      <c r="Z134" s="6">
        <f t="shared" si="32"/>
        <v>9.8887515451174281E-3</v>
      </c>
      <c r="AA134" s="6">
        <f t="shared" si="33"/>
        <v>4.9073733284259596E-3</v>
      </c>
      <c r="AB134" s="6">
        <f t="shared" si="35"/>
        <v>2.7504011001604399E-2</v>
      </c>
      <c r="AD134" s="6">
        <f t="shared" si="37"/>
        <v>1.703592186779709E-2</v>
      </c>
    </row>
    <row r="135" spans="1:30">
      <c r="A135" t="s">
        <v>203</v>
      </c>
      <c r="B135" t="s">
        <v>544</v>
      </c>
      <c r="C135" s="77">
        <v>2902.4</v>
      </c>
      <c r="D135" s="77">
        <v>2873.1</v>
      </c>
      <c r="E135" s="77">
        <v>2942.5</v>
      </c>
      <c r="F135" s="77">
        <v>3080.7</v>
      </c>
      <c r="G135" s="40">
        <f t="shared" si="29"/>
        <v>2949.6750000000002</v>
      </c>
      <c r="H135" s="77">
        <v>2907</v>
      </c>
      <c r="I135" s="77">
        <v>2899.5</v>
      </c>
      <c r="J135" s="77">
        <v>2992.7</v>
      </c>
      <c r="K135" s="77">
        <v>3121.4</v>
      </c>
      <c r="L135" s="40">
        <f t="shared" si="36"/>
        <v>2980.15</v>
      </c>
      <c r="M135" s="77">
        <v>2958.6</v>
      </c>
      <c r="N135" s="77">
        <v>2964.7</v>
      </c>
      <c r="O135" s="77">
        <v>3042.6</v>
      </c>
      <c r="P135" s="77">
        <v>3158.3</v>
      </c>
      <c r="Q135" s="40">
        <f t="shared" si="34"/>
        <v>3031.05</v>
      </c>
      <c r="R135" s="16">
        <f t="shared" si="31"/>
        <v>3000.5208333333335</v>
      </c>
      <c r="T135" s="6">
        <f t="shared" si="38"/>
        <v>1.5915049075922696E-2</v>
      </c>
      <c r="V135" s="23">
        <f>+claims!D135</f>
        <v>115</v>
      </c>
      <c r="W135" s="23">
        <f>+claims!E135</f>
        <v>167</v>
      </c>
      <c r="X135" s="23">
        <f>+claims!F135</f>
        <v>136</v>
      </c>
      <c r="Z135" s="6">
        <f t="shared" si="32"/>
        <v>3.8987346063549373E-2</v>
      </c>
      <c r="AA135" s="6">
        <f t="shared" si="33"/>
        <v>5.6037447779474184E-2</v>
      </c>
      <c r="AB135" s="6">
        <f t="shared" si="35"/>
        <v>4.4868939806337736E-2</v>
      </c>
      <c r="AD135" s="6">
        <f t="shared" si="37"/>
        <v>4.7611510173585149E-2</v>
      </c>
    </row>
    <row r="136" spans="1:30">
      <c r="A136" t="s">
        <v>204</v>
      </c>
      <c r="B136" t="s">
        <v>205</v>
      </c>
      <c r="C136" s="40">
        <v>170.2</v>
      </c>
      <c r="D136" s="40">
        <v>169</v>
      </c>
      <c r="E136" s="40">
        <v>174.6</v>
      </c>
      <c r="F136" s="40">
        <v>179.5</v>
      </c>
      <c r="G136" s="40">
        <f t="shared" si="29"/>
        <v>173.32499999999999</v>
      </c>
      <c r="H136" s="40">
        <v>181.9</v>
      </c>
      <c r="I136" s="40">
        <v>186.2</v>
      </c>
      <c r="J136" s="40">
        <v>191.3</v>
      </c>
      <c r="K136" s="40">
        <v>197</v>
      </c>
      <c r="L136" s="40">
        <f t="shared" si="36"/>
        <v>189.10000000000002</v>
      </c>
      <c r="M136" s="40">
        <v>199.7</v>
      </c>
      <c r="N136" s="40">
        <v>205.5</v>
      </c>
      <c r="O136" s="40">
        <v>208.3</v>
      </c>
      <c r="P136" s="40">
        <v>215.4</v>
      </c>
      <c r="Q136" s="40">
        <f t="shared" si="34"/>
        <v>207.22499999999999</v>
      </c>
      <c r="R136" s="16">
        <f t="shared" si="31"/>
        <v>195.53333333333333</v>
      </c>
      <c r="T136" s="6">
        <f t="shared" si="38"/>
        <v>1.037127475139594E-3</v>
      </c>
      <c r="V136" s="23">
        <f>+claims!D136</f>
        <v>3</v>
      </c>
      <c r="W136" s="23">
        <f>+claims!E136</f>
        <v>4</v>
      </c>
      <c r="X136" s="23">
        <f>+claims!F136</f>
        <v>1</v>
      </c>
      <c r="Z136" s="6">
        <f t="shared" si="32"/>
        <v>1.7308524448290785E-2</v>
      </c>
      <c r="AA136" s="6">
        <f t="shared" si="33"/>
        <v>2.115282919090428E-2</v>
      </c>
      <c r="AB136" s="6">
        <f t="shared" si="35"/>
        <v>4.825672578115575E-3</v>
      </c>
      <c r="AD136" s="6">
        <f t="shared" si="37"/>
        <v>1.2348533427407679E-2</v>
      </c>
    </row>
    <row r="137" spans="1:30">
      <c r="A137" t="s">
        <v>206</v>
      </c>
      <c r="B137" t="s">
        <v>207</v>
      </c>
      <c r="C137" s="76">
        <v>181.7</v>
      </c>
      <c r="D137" s="76">
        <v>186.9</v>
      </c>
      <c r="E137" s="76">
        <v>188.7</v>
      </c>
      <c r="F137" s="76">
        <v>176.1</v>
      </c>
      <c r="G137" s="40">
        <f t="shared" si="29"/>
        <v>183.35</v>
      </c>
      <c r="H137" s="76">
        <v>173.2</v>
      </c>
      <c r="I137" s="76">
        <v>175.3</v>
      </c>
      <c r="J137" s="76">
        <v>184.8</v>
      </c>
      <c r="K137" s="76">
        <v>178.10000000000002</v>
      </c>
      <c r="L137" s="40">
        <f t="shared" si="36"/>
        <v>177.85</v>
      </c>
      <c r="M137" s="76">
        <v>188</v>
      </c>
      <c r="N137" s="76">
        <v>196.1</v>
      </c>
      <c r="O137" s="76">
        <v>200.2</v>
      </c>
      <c r="P137" s="76">
        <v>191.3</v>
      </c>
      <c r="Q137" s="40">
        <f t="shared" si="34"/>
        <v>193.89999999999998</v>
      </c>
      <c r="R137" s="16">
        <f t="shared" si="31"/>
        <v>186.79166666666666</v>
      </c>
      <c r="T137" s="6">
        <f t="shared" si="38"/>
        <v>9.9076084023414597E-4</v>
      </c>
      <c r="V137" s="23">
        <f>+claims!D137</f>
        <v>1</v>
      </c>
      <c r="W137" s="23">
        <f>+claims!E137</f>
        <v>7</v>
      </c>
      <c r="X137" s="23">
        <f>+claims!F137</f>
        <v>6</v>
      </c>
      <c r="Z137" s="6">
        <f t="shared" si="32"/>
        <v>5.4540496318516499E-3</v>
      </c>
      <c r="AA137" s="6">
        <f t="shared" si="33"/>
        <v>3.9359010402024178E-2</v>
      </c>
      <c r="AB137" s="6">
        <f t="shared" si="35"/>
        <v>3.094378545642084E-2</v>
      </c>
      <c r="AD137" s="6">
        <f t="shared" si="37"/>
        <v>2.9500571134193753E-2</v>
      </c>
    </row>
    <row r="138" spans="1:30">
      <c r="A138" t="s">
        <v>208</v>
      </c>
      <c r="B138" t="s">
        <v>209</v>
      </c>
      <c r="C138" s="76">
        <v>12</v>
      </c>
      <c r="D138" s="76">
        <v>12.7</v>
      </c>
      <c r="E138" s="76">
        <v>13.2</v>
      </c>
      <c r="F138" s="76">
        <v>14</v>
      </c>
      <c r="G138" s="40">
        <f t="shared" si="29"/>
        <v>12.975</v>
      </c>
      <c r="H138" s="76">
        <v>13.7</v>
      </c>
      <c r="I138" s="76">
        <v>14</v>
      </c>
      <c r="J138" s="76">
        <v>14</v>
      </c>
      <c r="K138" s="76">
        <v>14</v>
      </c>
      <c r="L138" s="40">
        <f t="shared" si="36"/>
        <v>13.925000000000001</v>
      </c>
      <c r="M138" s="76">
        <v>14</v>
      </c>
      <c r="N138" s="76">
        <v>14</v>
      </c>
      <c r="O138" s="76">
        <v>14</v>
      </c>
      <c r="P138" s="76">
        <v>14</v>
      </c>
      <c r="Q138" s="40">
        <f t="shared" si="34"/>
        <v>14</v>
      </c>
      <c r="R138" s="16">
        <f t="shared" si="31"/>
        <v>13.804166666666667</v>
      </c>
      <c r="T138" s="6">
        <f t="shared" si="38"/>
        <v>7.3218618418374428E-5</v>
      </c>
      <c r="V138" s="23">
        <f>+claims!D138</f>
        <v>0</v>
      </c>
      <c r="W138" s="23">
        <f>+claims!E138</f>
        <v>0</v>
      </c>
      <c r="X138" s="23">
        <f>+claims!F138</f>
        <v>0</v>
      </c>
      <c r="Z138" s="6">
        <f t="shared" si="32"/>
        <v>0</v>
      </c>
      <c r="AA138" s="6">
        <f t="shared" si="33"/>
        <v>0</v>
      </c>
      <c r="AB138" s="6">
        <f t="shared" si="35"/>
        <v>0</v>
      </c>
      <c r="AD138" s="6">
        <f t="shared" si="37"/>
        <v>0</v>
      </c>
    </row>
    <row r="139" spans="1:30">
      <c r="A139" t="s">
        <v>210</v>
      </c>
      <c r="B139" t="s">
        <v>461</v>
      </c>
      <c r="C139" s="40">
        <v>12.5</v>
      </c>
      <c r="D139" s="40">
        <v>12.5</v>
      </c>
      <c r="E139" s="40">
        <v>12.5</v>
      </c>
      <c r="F139" s="40">
        <v>12.5</v>
      </c>
      <c r="G139" s="40">
        <f t="shared" si="29"/>
        <v>12.5</v>
      </c>
      <c r="H139" s="40">
        <v>13.4</v>
      </c>
      <c r="I139" s="40">
        <v>13.4</v>
      </c>
      <c r="J139" s="40">
        <v>13.4</v>
      </c>
      <c r="K139" s="40">
        <v>13.4</v>
      </c>
      <c r="L139" s="40">
        <f t="shared" si="36"/>
        <v>13.4</v>
      </c>
      <c r="M139" s="40">
        <v>12.8</v>
      </c>
      <c r="N139" s="40">
        <v>12.8</v>
      </c>
      <c r="O139" s="40">
        <v>12.8</v>
      </c>
      <c r="P139" s="40">
        <v>12.8</v>
      </c>
      <c r="Q139" s="40">
        <f t="shared" si="34"/>
        <v>12.8</v>
      </c>
      <c r="R139" s="16">
        <f t="shared" si="31"/>
        <v>12.950000000000001</v>
      </c>
      <c r="T139" s="6">
        <f t="shared" si="38"/>
        <v>6.8688036838004154E-5</v>
      </c>
      <c r="V139" s="23">
        <f>+claims!D139</f>
        <v>0</v>
      </c>
      <c r="W139" s="23">
        <f>+claims!E139</f>
        <v>0</v>
      </c>
      <c r="X139" s="23">
        <f>+claims!F139</f>
        <v>0</v>
      </c>
      <c r="Z139" s="6">
        <f t="shared" si="32"/>
        <v>0</v>
      </c>
      <c r="AA139" s="6">
        <f t="shared" si="33"/>
        <v>0</v>
      </c>
      <c r="AB139" s="6">
        <f t="shared" si="35"/>
        <v>0</v>
      </c>
      <c r="AD139" s="6">
        <f t="shared" si="37"/>
        <v>0</v>
      </c>
    </row>
    <row r="140" spans="1:30" outlineLevel="1">
      <c r="A140" t="s">
        <v>211</v>
      </c>
      <c r="B140" t="s">
        <v>212</v>
      </c>
      <c r="C140" s="40"/>
      <c r="D140" s="40" t="s">
        <v>212</v>
      </c>
      <c r="E140" s="40"/>
      <c r="F140" s="40">
        <v>19</v>
      </c>
      <c r="G140" s="40">
        <f t="shared" si="29"/>
        <v>19</v>
      </c>
      <c r="H140" s="40"/>
      <c r="I140" s="40" t="s">
        <v>212</v>
      </c>
      <c r="J140" s="40"/>
      <c r="K140" s="40">
        <v>18.5</v>
      </c>
      <c r="L140" s="40">
        <f t="shared" si="36"/>
        <v>18.5</v>
      </c>
      <c r="M140" s="40"/>
      <c r="N140" s="40" t="s">
        <v>212</v>
      </c>
      <c r="O140" s="40"/>
      <c r="P140" s="40">
        <v>18</v>
      </c>
      <c r="Q140" s="40">
        <f t="shared" ref="Q140:Q170" si="39">AVERAGE(M140:P140)</f>
        <v>18</v>
      </c>
      <c r="R140" s="16">
        <f t="shared" si="31"/>
        <v>18.333333333333332</v>
      </c>
      <c r="T140" s="6">
        <f t="shared" si="38"/>
        <v>9.7241750993313448E-5</v>
      </c>
      <c r="V140" s="23">
        <f>+claims!D140</f>
        <v>0</v>
      </c>
      <c r="W140" s="23">
        <f>+claims!E140</f>
        <v>0</v>
      </c>
      <c r="X140" s="23">
        <f>+claims!F140</f>
        <v>0</v>
      </c>
      <c r="Z140" s="6">
        <f t="shared" si="32"/>
        <v>0</v>
      </c>
      <c r="AA140" s="6">
        <f t="shared" si="33"/>
        <v>0</v>
      </c>
      <c r="AB140" s="6">
        <f t="shared" si="35"/>
        <v>0</v>
      </c>
      <c r="AD140" s="6">
        <f t="shared" si="37"/>
        <v>0</v>
      </c>
    </row>
    <row r="141" spans="1:30" outlineLevel="1">
      <c r="A141" t="s">
        <v>213</v>
      </c>
      <c r="B141" t="s">
        <v>214</v>
      </c>
      <c r="C141" s="40"/>
      <c r="D141" s="40" t="s">
        <v>214</v>
      </c>
      <c r="E141" s="40"/>
      <c r="F141" s="40">
        <v>7.5</v>
      </c>
      <c r="G141" s="40">
        <f t="shared" si="29"/>
        <v>7.5</v>
      </c>
      <c r="H141" s="40"/>
      <c r="I141" s="40" t="s">
        <v>214</v>
      </c>
      <c r="J141" s="40"/>
      <c r="K141" s="40">
        <v>6</v>
      </c>
      <c r="L141" s="40">
        <f t="shared" si="36"/>
        <v>6</v>
      </c>
      <c r="M141" s="40"/>
      <c r="N141" s="40" t="s">
        <v>214</v>
      </c>
      <c r="O141" s="40"/>
      <c r="P141" s="40">
        <v>7</v>
      </c>
      <c r="Q141" s="40">
        <f t="shared" si="39"/>
        <v>7</v>
      </c>
      <c r="R141" s="16">
        <f t="shared" si="31"/>
        <v>6.75</v>
      </c>
      <c r="T141" s="6">
        <f t="shared" si="38"/>
        <v>3.5802644683901776E-5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32"/>
        <v>0</v>
      </c>
      <c r="AA141" s="6">
        <f t="shared" si="33"/>
        <v>0</v>
      </c>
      <c r="AB141" s="6">
        <f t="shared" si="35"/>
        <v>0</v>
      </c>
      <c r="AD141" s="6">
        <f t="shared" si="37"/>
        <v>0</v>
      </c>
    </row>
    <row r="142" spans="1:30" outlineLevel="1">
      <c r="A142" t="s">
        <v>215</v>
      </c>
      <c r="B142" t="s">
        <v>216</v>
      </c>
      <c r="C142" s="40"/>
      <c r="D142" s="40" t="s">
        <v>216</v>
      </c>
      <c r="E142" s="40"/>
      <c r="F142" s="69">
        <v>35.5</v>
      </c>
      <c r="G142" s="40">
        <f t="shared" si="29"/>
        <v>35.5</v>
      </c>
      <c r="H142" s="40"/>
      <c r="I142" s="40" t="s">
        <v>216</v>
      </c>
      <c r="J142" s="40"/>
      <c r="K142" s="69">
        <v>34</v>
      </c>
      <c r="L142" s="40">
        <f t="shared" si="36"/>
        <v>34</v>
      </c>
      <c r="M142" s="40"/>
      <c r="N142" s="40" t="s">
        <v>216</v>
      </c>
      <c r="O142" s="40"/>
      <c r="P142" s="69">
        <v>33.5</v>
      </c>
      <c r="Q142" s="40">
        <f t="shared" si="39"/>
        <v>33.5</v>
      </c>
      <c r="R142" s="16">
        <f t="shared" si="31"/>
        <v>34</v>
      </c>
      <c r="T142" s="6">
        <f t="shared" si="38"/>
        <v>1.803392472966904E-4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 t="shared" si="32"/>
        <v>0</v>
      </c>
      <c r="AA142" s="6">
        <f t="shared" si="33"/>
        <v>0</v>
      </c>
      <c r="AB142" s="6">
        <f t="shared" si="35"/>
        <v>0</v>
      </c>
      <c r="AD142" s="6">
        <f t="shared" si="37"/>
        <v>0</v>
      </c>
    </row>
    <row r="143" spans="1:30" outlineLevel="1">
      <c r="A143" t="s">
        <v>504</v>
      </c>
      <c r="B143" t="s">
        <v>502</v>
      </c>
      <c r="C143" s="40"/>
      <c r="D143" s="40" t="s">
        <v>502</v>
      </c>
      <c r="E143" s="40"/>
      <c r="F143" s="40">
        <v>25</v>
      </c>
      <c r="G143" s="40">
        <f>AVERAGE(C143:F143)</f>
        <v>25</v>
      </c>
      <c r="H143" s="40"/>
      <c r="I143" s="40" t="s">
        <v>502</v>
      </c>
      <c r="J143" s="40"/>
      <c r="K143" s="40">
        <v>27</v>
      </c>
      <c r="L143" s="40">
        <f>AVERAGE(H143:K143)</f>
        <v>27</v>
      </c>
      <c r="M143" s="40"/>
      <c r="N143" s="40" t="s">
        <v>502</v>
      </c>
      <c r="O143" s="40"/>
      <c r="P143" s="40">
        <v>27</v>
      </c>
      <c r="Q143" s="40">
        <f>AVERAGE(M143:P143)</f>
        <v>27</v>
      </c>
      <c r="R143" s="16">
        <f>IF(G143&gt;0,(+G143+(L143*2)+(Q143*3))/6,IF(L143&gt;0,((L143*2)+(Q143*3))/5,Q143))</f>
        <v>26.666666666666668</v>
      </c>
      <c r="T143" s="6">
        <f t="shared" si="38"/>
        <v>1.4144254689936505E-4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6">
        <f>IF(G143&gt;100,IF(V143&lt;1,0,+V143/G143),IF(V143&lt;1,0,+V143/100))</f>
        <v>0</v>
      </c>
      <c r="AA143" s="6">
        <f>IF(L143&gt;100,IF(W143&lt;1,0,+W143/L143),IF(W143&lt;1,0,+W143/100))</f>
        <v>0</v>
      </c>
      <c r="AB143" s="6">
        <f>IF(Q143&gt;100,IF(X143&lt;1,0,+X143/Q143),IF(X143&lt;1,0,+X143/100))</f>
        <v>0</v>
      </c>
      <c r="AD143" s="6">
        <f t="shared" si="37"/>
        <v>0</v>
      </c>
    </row>
    <row r="144" spans="1:30" outlineLevel="1">
      <c r="A144" t="s">
        <v>217</v>
      </c>
      <c r="B144" t="s">
        <v>218</v>
      </c>
      <c r="C144" s="40"/>
      <c r="D144" s="40" t="s">
        <v>218</v>
      </c>
      <c r="E144" s="40"/>
      <c r="F144" s="69">
        <v>27.5</v>
      </c>
      <c r="G144" s="40">
        <f t="shared" ref="G144:G206" si="40">AVERAGE(C144:F144)</f>
        <v>27.5</v>
      </c>
      <c r="H144" s="40"/>
      <c r="I144" s="40" t="s">
        <v>218</v>
      </c>
      <c r="J144" s="40"/>
      <c r="K144" s="69">
        <v>27.5</v>
      </c>
      <c r="L144" s="40">
        <f t="shared" ref="L144:L161" si="41">AVERAGE(H144:K144)</f>
        <v>27.5</v>
      </c>
      <c r="M144" s="40"/>
      <c r="N144" s="40" t="s">
        <v>218</v>
      </c>
      <c r="O144" s="40"/>
      <c r="P144" s="69">
        <v>26</v>
      </c>
      <c r="Q144" s="40">
        <f t="shared" si="39"/>
        <v>26</v>
      </c>
      <c r="R144" s="16">
        <f t="shared" si="31"/>
        <v>26.75</v>
      </c>
      <c r="T144" s="6">
        <f t="shared" si="38"/>
        <v>1.4188455485842553E-4</v>
      </c>
      <c r="V144" s="23">
        <f>+claims!D144</f>
        <v>1</v>
      </c>
      <c r="W144" s="23">
        <f>+claims!E144</f>
        <v>1</v>
      </c>
      <c r="X144" s="23">
        <f>+claims!F144</f>
        <v>1</v>
      </c>
      <c r="Z144" s="6">
        <f t="shared" si="32"/>
        <v>0.01</v>
      </c>
      <c r="AA144" s="6">
        <f t="shared" si="33"/>
        <v>0.01</v>
      </c>
      <c r="AB144" s="6">
        <f t="shared" si="35"/>
        <v>0.01</v>
      </c>
      <c r="AD144" s="6">
        <f t="shared" si="37"/>
        <v>0.01</v>
      </c>
    </row>
    <row r="145" spans="1:30" outlineLevel="1">
      <c r="A145" t="s">
        <v>219</v>
      </c>
      <c r="B145" t="s">
        <v>220</v>
      </c>
      <c r="C145" s="40"/>
      <c r="D145" s="40" t="s">
        <v>220</v>
      </c>
      <c r="E145" s="40"/>
      <c r="F145" s="69">
        <v>3</v>
      </c>
      <c r="G145" s="40">
        <f t="shared" si="40"/>
        <v>3</v>
      </c>
      <c r="H145" s="40"/>
      <c r="I145" s="40" t="s">
        <v>220</v>
      </c>
      <c r="J145" s="40"/>
      <c r="K145" s="69">
        <v>3</v>
      </c>
      <c r="L145" s="40">
        <f t="shared" si="41"/>
        <v>3</v>
      </c>
      <c r="M145" s="40"/>
      <c r="N145" s="40" t="s">
        <v>220</v>
      </c>
      <c r="O145" s="40"/>
      <c r="P145" s="69">
        <v>3</v>
      </c>
      <c r="Q145" s="40">
        <f t="shared" si="39"/>
        <v>3</v>
      </c>
      <c r="R145" s="16">
        <f t="shared" si="31"/>
        <v>3</v>
      </c>
      <c r="T145" s="6">
        <f t="shared" si="38"/>
        <v>1.5912286526178566E-5</v>
      </c>
      <c r="V145" s="23">
        <f>+claims!D145</f>
        <v>0</v>
      </c>
      <c r="W145" s="23">
        <f>+claims!E145</f>
        <v>0</v>
      </c>
      <c r="X145" s="23">
        <f>+claims!F145</f>
        <v>0</v>
      </c>
      <c r="Z145" s="6">
        <f t="shared" si="32"/>
        <v>0</v>
      </c>
      <c r="AA145" s="6">
        <f t="shared" si="33"/>
        <v>0</v>
      </c>
      <c r="AB145" s="6">
        <f t="shared" si="35"/>
        <v>0</v>
      </c>
      <c r="AD145" s="6">
        <f t="shared" si="37"/>
        <v>0</v>
      </c>
    </row>
    <row r="146" spans="1:30" outlineLevel="1">
      <c r="A146" t="s">
        <v>221</v>
      </c>
      <c r="B146" t="s">
        <v>222</v>
      </c>
      <c r="C146" s="40"/>
      <c r="D146" s="40" t="s">
        <v>222</v>
      </c>
      <c r="E146" s="40"/>
      <c r="F146" s="69">
        <v>83</v>
      </c>
      <c r="G146" s="40">
        <f t="shared" si="40"/>
        <v>83</v>
      </c>
      <c r="H146" s="40"/>
      <c r="I146" s="40" t="s">
        <v>222</v>
      </c>
      <c r="J146" s="40"/>
      <c r="K146" s="69">
        <v>83.5</v>
      </c>
      <c r="L146" s="40">
        <f t="shared" si="41"/>
        <v>83.5</v>
      </c>
      <c r="M146" s="40"/>
      <c r="N146" s="40" t="s">
        <v>222</v>
      </c>
      <c r="O146" s="40"/>
      <c r="P146" s="69">
        <v>84</v>
      </c>
      <c r="Q146" s="40">
        <f t="shared" si="39"/>
        <v>84</v>
      </c>
      <c r="R146" s="16">
        <f t="shared" si="31"/>
        <v>83.666666666666671</v>
      </c>
      <c r="T146" s="6">
        <f t="shared" si="38"/>
        <v>4.4377599089675781E-4</v>
      </c>
      <c r="V146" s="23">
        <f>+claims!D146</f>
        <v>1</v>
      </c>
      <c r="W146" s="23">
        <f>+claims!E146</f>
        <v>0</v>
      </c>
      <c r="X146" s="23">
        <f>+claims!F146</f>
        <v>1</v>
      </c>
      <c r="Z146" s="6">
        <f t="shared" si="32"/>
        <v>0.01</v>
      </c>
      <c r="AA146" s="6">
        <f t="shared" si="33"/>
        <v>0</v>
      </c>
      <c r="AB146" s="6">
        <f t="shared" si="35"/>
        <v>0.01</v>
      </c>
      <c r="AD146" s="6">
        <f t="shared" si="37"/>
        <v>6.6666666666666671E-3</v>
      </c>
    </row>
    <row r="147" spans="1:30" outlineLevel="1">
      <c r="A147" t="s">
        <v>223</v>
      </c>
      <c r="B147" t="s">
        <v>224</v>
      </c>
      <c r="C147" s="40"/>
      <c r="D147" s="40" t="s">
        <v>224</v>
      </c>
      <c r="E147" s="40"/>
      <c r="F147" s="69">
        <v>479.5</v>
      </c>
      <c r="G147" s="40">
        <f t="shared" si="40"/>
        <v>479.5</v>
      </c>
      <c r="H147" s="40"/>
      <c r="I147" s="40" t="s">
        <v>224</v>
      </c>
      <c r="J147" s="40"/>
      <c r="K147" s="69">
        <v>482.5</v>
      </c>
      <c r="L147" s="40">
        <f t="shared" si="41"/>
        <v>482.5</v>
      </c>
      <c r="M147" s="40"/>
      <c r="N147" s="40" t="s">
        <v>224</v>
      </c>
      <c r="O147" s="40"/>
      <c r="P147" s="69">
        <v>497.5</v>
      </c>
      <c r="Q147" s="40">
        <f t="shared" si="39"/>
        <v>497.5</v>
      </c>
      <c r="R147" s="16">
        <f t="shared" si="31"/>
        <v>489.5</v>
      </c>
      <c r="T147" s="6">
        <f t="shared" si="38"/>
        <v>2.5963547515214691E-3</v>
      </c>
      <c r="V147" s="23">
        <f>+claims!D147</f>
        <v>12</v>
      </c>
      <c r="W147" s="23">
        <f>+claims!E147</f>
        <v>14</v>
      </c>
      <c r="X147" s="23">
        <f>+claims!F147</f>
        <v>8</v>
      </c>
      <c r="Z147" s="6">
        <f t="shared" si="32"/>
        <v>2.502606882168926E-2</v>
      </c>
      <c r="AA147" s="6">
        <f t="shared" si="33"/>
        <v>2.9015544041450778E-2</v>
      </c>
      <c r="AB147" s="6">
        <f t="shared" si="35"/>
        <v>1.6080402010050253E-2</v>
      </c>
      <c r="AD147" s="6">
        <f t="shared" si="37"/>
        <v>2.1883060489123595E-2</v>
      </c>
    </row>
    <row r="148" spans="1:30" outlineLevel="1">
      <c r="A148" t="s">
        <v>225</v>
      </c>
      <c r="B148" t="s">
        <v>226</v>
      </c>
      <c r="C148" s="40"/>
      <c r="D148" s="40" t="s">
        <v>226</v>
      </c>
      <c r="E148" s="40"/>
      <c r="F148" s="69">
        <v>87</v>
      </c>
      <c r="G148" s="40">
        <f t="shared" si="40"/>
        <v>87</v>
      </c>
      <c r="H148" s="40"/>
      <c r="I148" s="40" t="s">
        <v>226</v>
      </c>
      <c r="J148" s="40"/>
      <c r="K148" s="69">
        <v>81.5</v>
      </c>
      <c r="L148" s="40">
        <f t="shared" si="41"/>
        <v>81.5</v>
      </c>
      <c r="M148" s="40"/>
      <c r="N148" s="40" t="s">
        <v>226</v>
      </c>
      <c r="O148" s="40"/>
      <c r="P148" s="69">
        <v>83.5</v>
      </c>
      <c r="Q148" s="40">
        <f t="shared" si="39"/>
        <v>83.5</v>
      </c>
      <c r="R148" s="16">
        <f t="shared" si="31"/>
        <v>83.416666666666671</v>
      </c>
      <c r="T148" s="6">
        <f t="shared" si="38"/>
        <v>4.4244996701957626E-4</v>
      </c>
      <c r="V148" s="23">
        <f>+claims!D148</f>
        <v>1</v>
      </c>
      <c r="W148" s="23">
        <f>+claims!E148</f>
        <v>0</v>
      </c>
      <c r="X148" s="23">
        <f>+claims!F148</f>
        <v>1</v>
      </c>
      <c r="Z148" s="6">
        <f t="shared" si="32"/>
        <v>0.01</v>
      </c>
      <c r="AA148" s="6">
        <f t="shared" si="33"/>
        <v>0</v>
      </c>
      <c r="AB148" s="6">
        <f t="shared" si="35"/>
        <v>0.01</v>
      </c>
      <c r="AD148" s="6">
        <f t="shared" si="37"/>
        <v>6.6666666666666671E-3</v>
      </c>
    </row>
    <row r="149" spans="1:30" outlineLevel="1">
      <c r="A149" t="s">
        <v>227</v>
      </c>
      <c r="B149" t="s">
        <v>228</v>
      </c>
      <c r="C149" s="40"/>
      <c r="D149" s="40" t="s">
        <v>228</v>
      </c>
      <c r="E149" s="40"/>
      <c r="F149" s="69">
        <v>75</v>
      </c>
      <c r="G149" s="40">
        <f t="shared" si="40"/>
        <v>75</v>
      </c>
      <c r="H149" s="40"/>
      <c r="I149" s="40" t="s">
        <v>228</v>
      </c>
      <c r="J149" s="40"/>
      <c r="K149" s="69">
        <v>75</v>
      </c>
      <c r="L149" s="40">
        <f t="shared" si="41"/>
        <v>75</v>
      </c>
      <c r="M149" s="40"/>
      <c r="N149" s="40" t="s">
        <v>228</v>
      </c>
      <c r="O149" s="40"/>
      <c r="P149" s="69">
        <v>76</v>
      </c>
      <c r="Q149" s="40">
        <f t="shared" si="39"/>
        <v>76</v>
      </c>
      <c r="R149" s="16">
        <f t="shared" si="31"/>
        <v>75.5</v>
      </c>
      <c r="T149" s="6">
        <f t="shared" si="38"/>
        <v>4.0045921090882722E-4</v>
      </c>
      <c r="V149" s="23">
        <f>+claims!D149</f>
        <v>0</v>
      </c>
      <c r="W149" s="23">
        <f>+claims!E149</f>
        <v>2</v>
      </c>
      <c r="X149" s="23">
        <f>+claims!F149</f>
        <v>0</v>
      </c>
      <c r="Z149" s="6">
        <f t="shared" si="32"/>
        <v>0</v>
      </c>
      <c r="AA149" s="6">
        <f t="shared" si="33"/>
        <v>0.02</v>
      </c>
      <c r="AB149" s="6">
        <f t="shared" si="35"/>
        <v>0</v>
      </c>
      <c r="AD149" s="6">
        <f t="shared" si="37"/>
        <v>6.6666666666666671E-3</v>
      </c>
    </row>
    <row r="150" spans="1:30" outlineLevel="1">
      <c r="A150" t="s">
        <v>229</v>
      </c>
      <c r="B150" t="s">
        <v>230</v>
      </c>
      <c r="C150" s="40"/>
      <c r="D150" s="40" t="s">
        <v>230</v>
      </c>
      <c r="E150" s="40"/>
      <c r="F150" s="69">
        <v>44.5</v>
      </c>
      <c r="G150" s="40">
        <f t="shared" si="40"/>
        <v>44.5</v>
      </c>
      <c r="H150" s="40"/>
      <c r="I150" s="40" t="s">
        <v>230</v>
      </c>
      <c r="J150" s="40"/>
      <c r="K150" s="69">
        <v>47</v>
      </c>
      <c r="L150" s="40">
        <f t="shared" si="41"/>
        <v>47</v>
      </c>
      <c r="M150" s="40"/>
      <c r="N150" s="40" t="s">
        <v>230</v>
      </c>
      <c r="O150" s="40"/>
      <c r="P150" s="69">
        <v>44</v>
      </c>
      <c r="Q150" s="40">
        <f t="shared" si="39"/>
        <v>44</v>
      </c>
      <c r="R150" s="16">
        <f t="shared" si="31"/>
        <v>45.083333333333336</v>
      </c>
      <c r="T150" s="6">
        <f t="shared" si="38"/>
        <v>2.3912630585173902E-4</v>
      </c>
      <c r="V150" s="23">
        <f>+claims!D150</f>
        <v>1</v>
      </c>
      <c r="W150" s="23">
        <f>+claims!E150</f>
        <v>0</v>
      </c>
      <c r="X150" s="23">
        <f>+claims!F150</f>
        <v>0</v>
      </c>
      <c r="Z150" s="6">
        <f t="shared" si="32"/>
        <v>0.01</v>
      </c>
      <c r="AA150" s="6">
        <f t="shared" si="33"/>
        <v>0</v>
      </c>
      <c r="AB150" s="6">
        <f t="shared" si="35"/>
        <v>0</v>
      </c>
      <c r="AD150" s="6">
        <f t="shared" si="37"/>
        <v>1.6666666666666668E-3</v>
      </c>
    </row>
    <row r="151" spans="1:30" outlineLevel="1">
      <c r="A151" t="s">
        <v>231</v>
      </c>
      <c r="B151" t="s">
        <v>232</v>
      </c>
      <c r="C151" s="40"/>
      <c r="D151" s="40" t="s">
        <v>232</v>
      </c>
      <c r="E151" s="40"/>
      <c r="F151" s="69">
        <v>9</v>
      </c>
      <c r="G151" s="40">
        <f t="shared" si="40"/>
        <v>9</v>
      </c>
      <c r="H151" s="40"/>
      <c r="I151" s="40" t="s">
        <v>232</v>
      </c>
      <c r="J151" s="40"/>
      <c r="K151" s="69">
        <v>11</v>
      </c>
      <c r="L151" s="40">
        <f t="shared" si="41"/>
        <v>11</v>
      </c>
      <c r="M151" s="40"/>
      <c r="N151" s="40" t="s">
        <v>232</v>
      </c>
      <c r="O151" s="40"/>
      <c r="P151" s="69">
        <v>11</v>
      </c>
      <c r="Q151" s="40">
        <f t="shared" si="39"/>
        <v>11</v>
      </c>
      <c r="R151" s="16">
        <f t="shared" si="31"/>
        <v>10.666666666666666</v>
      </c>
      <c r="T151" s="6">
        <f t="shared" si="38"/>
        <v>5.6577018759746012E-5</v>
      </c>
      <c r="V151" s="23">
        <f>+claims!D151</f>
        <v>0</v>
      </c>
      <c r="W151" s="23">
        <f>+claims!E151</f>
        <v>0</v>
      </c>
      <c r="X151" s="23">
        <f>+claims!F151</f>
        <v>0</v>
      </c>
      <c r="Z151" s="6">
        <f t="shared" si="32"/>
        <v>0</v>
      </c>
      <c r="AA151" s="6">
        <f t="shared" si="33"/>
        <v>0</v>
      </c>
      <c r="AB151" s="6">
        <f t="shared" si="35"/>
        <v>0</v>
      </c>
      <c r="AD151" s="6">
        <f t="shared" si="37"/>
        <v>0</v>
      </c>
    </row>
    <row r="152" spans="1:30" outlineLevel="1">
      <c r="A152" t="s">
        <v>233</v>
      </c>
      <c r="B152" t="s">
        <v>234</v>
      </c>
      <c r="C152" s="40"/>
      <c r="D152" s="40" t="s">
        <v>234</v>
      </c>
      <c r="E152" s="40"/>
      <c r="F152" s="69">
        <v>37.5</v>
      </c>
      <c r="G152" s="40">
        <f t="shared" si="40"/>
        <v>37.5</v>
      </c>
      <c r="H152" s="40"/>
      <c r="I152" s="40" t="s">
        <v>234</v>
      </c>
      <c r="J152" s="40"/>
      <c r="K152" s="69">
        <v>40</v>
      </c>
      <c r="L152" s="40">
        <f t="shared" si="41"/>
        <v>40</v>
      </c>
      <c r="M152" s="40"/>
      <c r="N152" s="40" t="s">
        <v>234</v>
      </c>
      <c r="O152" s="40"/>
      <c r="P152" s="69">
        <v>41</v>
      </c>
      <c r="Q152" s="40">
        <f t="shared" si="39"/>
        <v>41</v>
      </c>
      <c r="R152" s="16">
        <f t="shared" si="31"/>
        <v>40.083333333333336</v>
      </c>
      <c r="T152" s="6">
        <f t="shared" si="38"/>
        <v>2.1260582830810807E-4</v>
      </c>
      <c r="V152" s="23">
        <f>+claims!D152</f>
        <v>0</v>
      </c>
      <c r="W152" s="23">
        <f>+claims!E152</f>
        <v>0</v>
      </c>
      <c r="X152" s="23">
        <f>+claims!F152</f>
        <v>2</v>
      </c>
      <c r="Z152" s="6">
        <f t="shared" si="32"/>
        <v>0</v>
      </c>
      <c r="AA152" s="6">
        <f t="shared" si="33"/>
        <v>0</v>
      </c>
      <c r="AB152" s="6">
        <f t="shared" si="35"/>
        <v>0.02</v>
      </c>
      <c r="AD152" s="6">
        <f t="shared" si="37"/>
        <v>0.01</v>
      </c>
    </row>
    <row r="153" spans="1:30" outlineLevel="1">
      <c r="A153" t="s">
        <v>235</v>
      </c>
      <c r="B153" t="s">
        <v>236</v>
      </c>
      <c r="C153" s="40"/>
      <c r="D153" s="40" t="s">
        <v>236</v>
      </c>
      <c r="E153" s="40"/>
      <c r="F153" s="69">
        <v>89</v>
      </c>
      <c r="G153" s="40">
        <f t="shared" si="40"/>
        <v>89</v>
      </c>
      <c r="H153" s="40"/>
      <c r="I153" s="40" t="s">
        <v>236</v>
      </c>
      <c r="J153" s="40"/>
      <c r="K153" s="69">
        <v>87</v>
      </c>
      <c r="L153" s="40">
        <f t="shared" si="41"/>
        <v>87</v>
      </c>
      <c r="M153" s="40"/>
      <c r="N153" s="40" t="s">
        <v>236</v>
      </c>
      <c r="O153" s="40"/>
      <c r="P153" s="69">
        <v>85.5</v>
      </c>
      <c r="Q153" s="40">
        <f t="shared" si="39"/>
        <v>85.5</v>
      </c>
      <c r="R153" s="16">
        <f t="shared" si="31"/>
        <v>86.583333333333329</v>
      </c>
      <c r="T153" s="6">
        <f t="shared" si="38"/>
        <v>4.5924626946387581E-4</v>
      </c>
      <c r="V153" s="23">
        <f>+claims!D153</f>
        <v>0</v>
      </c>
      <c r="W153" s="23">
        <f>+claims!E153</f>
        <v>1</v>
      </c>
      <c r="X153" s="23">
        <f>+claims!F153</f>
        <v>2</v>
      </c>
      <c r="Z153" s="6">
        <f t="shared" si="32"/>
        <v>0</v>
      </c>
      <c r="AA153" s="6">
        <f t="shared" si="33"/>
        <v>0.01</v>
      </c>
      <c r="AB153" s="6">
        <f t="shared" si="35"/>
        <v>0.02</v>
      </c>
      <c r="AD153" s="6">
        <f t="shared" si="37"/>
        <v>1.3333333333333334E-2</v>
      </c>
    </row>
    <row r="154" spans="1:30" outlineLevel="1">
      <c r="A154" t="s">
        <v>237</v>
      </c>
      <c r="B154" t="s">
        <v>238</v>
      </c>
      <c r="C154" s="40"/>
      <c r="D154" s="40" t="s">
        <v>238</v>
      </c>
      <c r="E154" s="40"/>
      <c r="F154" s="69">
        <v>140</v>
      </c>
      <c r="G154" s="40">
        <f t="shared" si="40"/>
        <v>140</v>
      </c>
      <c r="H154" s="40"/>
      <c r="I154" s="40" t="s">
        <v>238</v>
      </c>
      <c r="J154" s="40"/>
      <c r="K154" s="69">
        <v>141</v>
      </c>
      <c r="L154" s="40">
        <f t="shared" si="41"/>
        <v>141</v>
      </c>
      <c r="M154" s="40"/>
      <c r="N154" s="40" t="s">
        <v>238</v>
      </c>
      <c r="O154" s="40"/>
      <c r="P154" s="69">
        <v>133</v>
      </c>
      <c r="Q154" s="40">
        <f t="shared" si="39"/>
        <v>133</v>
      </c>
      <c r="R154" s="16">
        <f t="shared" si="31"/>
        <v>136.83333333333334</v>
      </c>
      <c r="T154" s="6">
        <f t="shared" si="38"/>
        <v>7.2577706877736687E-4</v>
      </c>
      <c r="V154" s="23">
        <f>+claims!D154</f>
        <v>0</v>
      </c>
      <c r="W154" s="23">
        <f>+claims!E154</f>
        <v>2</v>
      </c>
      <c r="X154" s="23">
        <f>+claims!F154</f>
        <v>3</v>
      </c>
      <c r="Z154" s="6">
        <f t="shared" si="32"/>
        <v>0</v>
      </c>
      <c r="AA154" s="6">
        <f t="shared" si="33"/>
        <v>1.4184397163120567E-2</v>
      </c>
      <c r="AB154" s="6">
        <f t="shared" si="35"/>
        <v>2.2556390977443608E-2</v>
      </c>
      <c r="AD154" s="6">
        <f t="shared" si="37"/>
        <v>1.600632787642866E-2</v>
      </c>
    </row>
    <row r="155" spans="1:30" outlineLevel="1">
      <c r="A155" t="s">
        <v>239</v>
      </c>
      <c r="B155" t="s">
        <v>240</v>
      </c>
      <c r="C155" s="40"/>
      <c r="D155" s="40" t="s">
        <v>240</v>
      </c>
      <c r="E155" s="40"/>
      <c r="F155" s="69">
        <v>15</v>
      </c>
      <c r="G155" s="40">
        <f t="shared" si="40"/>
        <v>15</v>
      </c>
      <c r="H155" s="40"/>
      <c r="I155" s="40" t="s">
        <v>240</v>
      </c>
      <c r="J155" s="40"/>
      <c r="K155" s="69">
        <v>15</v>
      </c>
      <c r="L155" s="40">
        <f t="shared" si="41"/>
        <v>15</v>
      </c>
      <c r="M155" s="40"/>
      <c r="N155" s="40" t="s">
        <v>240</v>
      </c>
      <c r="O155" s="40"/>
      <c r="P155" s="69">
        <v>16</v>
      </c>
      <c r="Q155" s="40">
        <f t="shared" si="39"/>
        <v>16</v>
      </c>
      <c r="R155" s="16">
        <f t="shared" si="31"/>
        <v>15.5</v>
      </c>
      <c r="T155" s="6">
        <f t="shared" si="38"/>
        <v>8.2213480385255928E-5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32"/>
        <v>0</v>
      </c>
      <c r="AA155" s="6">
        <f t="shared" si="33"/>
        <v>0</v>
      </c>
      <c r="AB155" s="6">
        <f t="shared" si="35"/>
        <v>0</v>
      </c>
      <c r="AD155" s="6">
        <f t="shared" si="37"/>
        <v>0</v>
      </c>
    </row>
    <row r="156" spans="1:30" outlineLevel="1">
      <c r="A156" t="s">
        <v>241</v>
      </c>
      <c r="B156" t="s">
        <v>242</v>
      </c>
      <c r="C156" s="40"/>
      <c r="D156" s="40" t="s">
        <v>242</v>
      </c>
      <c r="E156" s="40"/>
      <c r="F156" s="69">
        <v>14</v>
      </c>
      <c r="G156" s="40">
        <f t="shared" si="40"/>
        <v>14</v>
      </c>
      <c r="H156" s="40"/>
      <c r="I156" s="40" t="s">
        <v>242</v>
      </c>
      <c r="J156" s="40"/>
      <c r="K156" s="69">
        <v>14</v>
      </c>
      <c r="L156" s="40">
        <f t="shared" si="41"/>
        <v>14</v>
      </c>
      <c r="M156" s="40"/>
      <c r="N156" s="40" t="s">
        <v>242</v>
      </c>
      <c r="O156" s="40"/>
      <c r="P156" s="69">
        <v>14</v>
      </c>
      <c r="Q156" s="40">
        <f t="shared" si="39"/>
        <v>14</v>
      </c>
      <c r="R156" s="16">
        <f t="shared" si="31"/>
        <v>14</v>
      </c>
      <c r="T156" s="6">
        <f t="shared" si="38"/>
        <v>7.425733712216664E-5</v>
      </c>
      <c r="V156" s="23">
        <f>+claims!D156</f>
        <v>0</v>
      </c>
      <c r="W156" s="23">
        <f>+claims!E156</f>
        <v>0</v>
      </c>
      <c r="X156" s="23">
        <f>+claims!F156</f>
        <v>0</v>
      </c>
      <c r="Z156" s="6">
        <f t="shared" si="32"/>
        <v>0</v>
      </c>
      <c r="AA156" s="6">
        <f t="shared" si="33"/>
        <v>0</v>
      </c>
      <c r="AB156" s="6">
        <f t="shared" si="35"/>
        <v>0</v>
      </c>
      <c r="AD156" s="6">
        <f t="shared" si="37"/>
        <v>0</v>
      </c>
    </row>
    <row r="157" spans="1:30" outlineLevel="1">
      <c r="A157" t="s">
        <v>243</v>
      </c>
      <c r="B157" t="s">
        <v>244</v>
      </c>
      <c r="C157" s="40"/>
      <c r="D157" s="40" t="s">
        <v>244</v>
      </c>
      <c r="E157" s="40"/>
      <c r="F157" s="69">
        <v>8</v>
      </c>
      <c r="G157" s="40">
        <f t="shared" si="40"/>
        <v>8</v>
      </c>
      <c r="H157" s="40"/>
      <c r="I157" s="40" t="s">
        <v>244</v>
      </c>
      <c r="J157" s="40"/>
      <c r="K157" s="69">
        <v>8</v>
      </c>
      <c r="L157" s="40">
        <f t="shared" si="41"/>
        <v>8</v>
      </c>
      <c r="M157" s="40"/>
      <c r="N157" s="40" t="s">
        <v>244</v>
      </c>
      <c r="O157" s="40"/>
      <c r="P157" s="69">
        <v>8</v>
      </c>
      <c r="Q157" s="40">
        <f t="shared" si="39"/>
        <v>8</v>
      </c>
      <c r="R157" s="16">
        <f t="shared" si="31"/>
        <v>8</v>
      </c>
      <c r="T157" s="6">
        <f t="shared" si="38"/>
        <v>4.2432764069809507E-5</v>
      </c>
      <c r="V157" s="23">
        <f>+claims!D157</f>
        <v>0</v>
      </c>
      <c r="W157" s="23">
        <f>+claims!E157</f>
        <v>0</v>
      </c>
      <c r="X157" s="23">
        <f>+claims!F157</f>
        <v>0</v>
      </c>
      <c r="Z157" s="6">
        <f t="shared" si="32"/>
        <v>0</v>
      </c>
      <c r="AA157" s="6">
        <f t="shared" si="33"/>
        <v>0</v>
      </c>
      <c r="AB157" s="6">
        <f t="shared" si="35"/>
        <v>0</v>
      </c>
      <c r="AD157" s="6">
        <f t="shared" si="37"/>
        <v>0</v>
      </c>
    </row>
    <row r="158" spans="1:30" outlineLevel="1">
      <c r="A158" t="s">
        <v>245</v>
      </c>
      <c r="B158" t="s">
        <v>246</v>
      </c>
      <c r="C158" s="40"/>
      <c r="D158" s="40" t="s">
        <v>246</v>
      </c>
      <c r="E158" s="40"/>
      <c r="F158" s="69">
        <v>99</v>
      </c>
      <c r="G158" s="40">
        <f t="shared" si="40"/>
        <v>99</v>
      </c>
      <c r="H158" s="40"/>
      <c r="I158" s="40" t="s">
        <v>246</v>
      </c>
      <c r="J158" s="40"/>
      <c r="K158" s="69">
        <v>103</v>
      </c>
      <c r="L158" s="40">
        <f t="shared" si="41"/>
        <v>103</v>
      </c>
      <c r="M158" s="40"/>
      <c r="N158" s="40" t="s">
        <v>246</v>
      </c>
      <c r="O158" s="40"/>
      <c r="P158" s="69">
        <v>102</v>
      </c>
      <c r="Q158" s="40">
        <f t="shared" si="39"/>
        <v>102</v>
      </c>
      <c r="R158" s="16">
        <f t="shared" si="31"/>
        <v>101.83333333333333</v>
      </c>
      <c r="T158" s="6">
        <f t="shared" si="38"/>
        <v>5.4013372597195013E-4</v>
      </c>
      <c r="V158" s="23">
        <f>+claims!D158</f>
        <v>3</v>
      </c>
      <c r="W158" s="23">
        <f>+claims!E158</f>
        <v>3</v>
      </c>
      <c r="X158" s="23">
        <f>+claims!F158</f>
        <v>0</v>
      </c>
      <c r="Z158" s="6">
        <f t="shared" si="32"/>
        <v>0.03</v>
      </c>
      <c r="AA158" s="6">
        <f t="shared" si="33"/>
        <v>2.9126213592233011E-2</v>
      </c>
      <c r="AB158" s="6">
        <f t="shared" si="35"/>
        <v>0</v>
      </c>
      <c r="AD158" s="6">
        <f t="shared" si="37"/>
        <v>1.470873786407767E-2</v>
      </c>
    </row>
    <row r="159" spans="1:30" outlineLevel="1">
      <c r="A159" t="s">
        <v>247</v>
      </c>
      <c r="B159" t="s">
        <v>248</v>
      </c>
      <c r="C159" s="40"/>
      <c r="D159" s="40" t="s">
        <v>248</v>
      </c>
      <c r="E159" s="40"/>
      <c r="F159" s="69">
        <v>8</v>
      </c>
      <c r="G159" s="40">
        <f t="shared" si="40"/>
        <v>8</v>
      </c>
      <c r="H159" s="40"/>
      <c r="I159" s="40" t="s">
        <v>248</v>
      </c>
      <c r="J159" s="40"/>
      <c r="K159" s="69">
        <v>8</v>
      </c>
      <c r="L159" s="40">
        <f t="shared" si="41"/>
        <v>8</v>
      </c>
      <c r="M159" s="40"/>
      <c r="N159" s="40" t="s">
        <v>248</v>
      </c>
      <c r="O159" s="40"/>
      <c r="P159" s="69">
        <v>8</v>
      </c>
      <c r="Q159" s="40">
        <f t="shared" si="39"/>
        <v>8</v>
      </c>
      <c r="R159" s="16">
        <f t="shared" si="31"/>
        <v>8</v>
      </c>
      <c r="T159" s="6">
        <f t="shared" si="38"/>
        <v>4.2432764069809507E-5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32"/>
        <v>0</v>
      </c>
      <c r="AA159" s="6">
        <f t="shared" si="33"/>
        <v>0</v>
      </c>
      <c r="AB159" s="6">
        <f t="shared" si="35"/>
        <v>0</v>
      </c>
      <c r="AD159" s="6">
        <f t="shared" si="37"/>
        <v>0</v>
      </c>
    </row>
    <row r="160" spans="1:30" outlineLevel="1">
      <c r="A160" t="s">
        <v>249</v>
      </c>
      <c r="B160" t="s">
        <v>250</v>
      </c>
      <c r="C160" s="40"/>
      <c r="D160" s="40" t="s">
        <v>250</v>
      </c>
      <c r="E160" s="40"/>
      <c r="F160" s="69">
        <v>6</v>
      </c>
      <c r="G160" s="40">
        <f t="shared" si="40"/>
        <v>6</v>
      </c>
      <c r="H160" s="40"/>
      <c r="I160" s="40" t="s">
        <v>250</v>
      </c>
      <c r="J160" s="40"/>
      <c r="K160" s="69">
        <v>6</v>
      </c>
      <c r="L160" s="40">
        <f t="shared" si="41"/>
        <v>6</v>
      </c>
      <c r="M160" s="40"/>
      <c r="N160" s="40" t="s">
        <v>250</v>
      </c>
      <c r="O160" s="40"/>
      <c r="P160" s="69">
        <v>6</v>
      </c>
      <c r="Q160" s="40">
        <f t="shared" si="39"/>
        <v>6</v>
      </c>
      <c r="R160" s="16">
        <f t="shared" si="31"/>
        <v>6</v>
      </c>
      <c r="T160" s="6">
        <f t="shared" si="38"/>
        <v>3.1824573052357132E-5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32"/>
        <v>0</v>
      </c>
      <c r="AA160" s="6">
        <f t="shared" si="33"/>
        <v>0</v>
      </c>
      <c r="AB160" s="6">
        <f t="shared" si="35"/>
        <v>0</v>
      </c>
      <c r="AD160" s="6">
        <f t="shared" si="37"/>
        <v>0</v>
      </c>
    </row>
    <row r="161" spans="1:30" outlineLevel="1">
      <c r="A161" t="s">
        <v>251</v>
      </c>
      <c r="B161" t="s">
        <v>252</v>
      </c>
      <c r="C161" s="40"/>
      <c r="D161" s="40" t="s">
        <v>252</v>
      </c>
      <c r="E161" s="40"/>
      <c r="F161" s="69">
        <v>10</v>
      </c>
      <c r="G161" s="40">
        <f t="shared" si="40"/>
        <v>10</v>
      </c>
      <c r="H161" s="40"/>
      <c r="I161" s="40" t="s">
        <v>252</v>
      </c>
      <c r="J161" s="40"/>
      <c r="K161" s="69">
        <v>10</v>
      </c>
      <c r="L161" s="40">
        <f t="shared" si="41"/>
        <v>10</v>
      </c>
      <c r="M161" s="40"/>
      <c r="N161" s="40" t="s">
        <v>252</v>
      </c>
      <c r="O161" s="40"/>
      <c r="P161" s="69">
        <v>9</v>
      </c>
      <c r="Q161" s="40">
        <f t="shared" si="39"/>
        <v>9</v>
      </c>
      <c r="R161" s="16">
        <f t="shared" si="31"/>
        <v>9.5</v>
      </c>
      <c r="T161" s="6">
        <f t="shared" si="38"/>
        <v>5.0388907332898789E-5</v>
      </c>
      <c r="V161" s="23">
        <f>+claims!D161</f>
        <v>1</v>
      </c>
      <c r="W161" s="23">
        <f>+claims!E161</f>
        <v>0</v>
      </c>
      <c r="X161" s="23">
        <f>+claims!F161</f>
        <v>0</v>
      </c>
      <c r="Z161" s="6">
        <f t="shared" si="32"/>
        <v>0.01</v>
      </c>
      <c r="AA161" s="6">
        <f t="shared" si="33"/>
        <v>0</v>
      </c>
      <c r="AB161" s="6">
        <f t="shared" si="35"/>
        <v>0</v>
      </c>
      <c r="AD161" s="6">
        <f t="shared" si="37"/>
        <v>1.6666666666666668E-3</v>
      </c>
    </row>
    <row r="162" spans="1:30" outlineLevel="1">
      <c r="A162" t="s">
        <v>495</v>
      </c>
      <c r="B162" t="s">
        <v>496</v>
      </c>
      <c r="C162" s="40"/>
      <c r="D162" s="40" t="s">
        <v>496</v>
      </c>
      <c r="E162" s="40"/>
      <c r="F162" s="69">
        <v>2</v>
      </c>
      <c r="G162" s="40">
        <f t="shared" si="40"/>
        <v>2</v>
      </c>
      <c r="H162" s="40"/>
      <c r="I162" s="40" t="s">
        <v>496</v>
      </c>
      <c r="J162" s="40"/>
      <c r="K162" s="69">
        <v>2</v>
      </c>
      <c r="L162" s="40">
        <f>AVERAGE(H162:K162)</f>
        <v>2</v>
      </c>
      <c r="M162" s="40"/>
      <c r="N162" s="40" t="s">
        <v>496</v>
      </c>
      <c r="O162" s="40"/>
      <c r="P162" s="69">
        <v>2</v>
      </c>
      <c r="Q162" s="40">
        <f>AVERAGE(M162:P162)</f>
        <v>2</v>
      </c>
      <c r="R162" s="16">
        <f>IF(G162&gt;0,(+G162+(L162*2)+(Q162*3))/6,IF(L162&gt;0,((L162*2)+(Q162*3))/5,Q162))</f>
        <v>2</v>
      </c>
      <c r="T162" s="6">
        <f t="shared" si="38"/>
        <v>1.0608191017452377E-5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>IF(G162&gt;100,IF(V162&lt;1,0,+V162/G162),IF(V162&lt;1,0,+V162/100))</f>
        <v>0</v>
      </c>
      <c r="AA162" s="6">
        <f>IF(L162&gt;100,IF(W162&lt;1,0,+W162/L162),IF(W162&lt;1,0,+W162/100))</f>
        <v>0</v>
      </c>
      <c r="AB162" s="6">
        <f>IF(Q162&gt;100,IF(X162&lt;1,0,+X162/Q162),IF(X162&lt;1,0,+X162/100))</f>
        <v>0</v>
      </c>
      <c r="AD162" s="6">
        <f t="shared" si="37"/>
        <v>0</v>
      </c>
    </row>
    <row r="163" spans="1:30" outlineLevel="1">
      <c r="A163" t="s">
        <v>253</v>
      </c>
      <c r="B163" t="s">
        <v>254</v>
      </c>
      <c r="C163" s="40"/>
      <c r="D163" s="40" t="s">
        <v>254</v>
      </c>
      <c r="E163" s="40"/>
      <c r="F163" s="69">
        <v>603</v>
      </c>
      <c r="G163" s="40">
        <f t="shared" si="40"/>
        <v>603</v>
      </c>
      <c r="H163" s="40"/>
      <c r="I163" s="40" t="s">
        <v>254</v>
      </c>
      <c r="J163" s="40"/>
      <c r="K163" s="69">
        <v>552</v>
      </c>
      <c r="L163" s="40">
        <f t="shared" ref="L163:L201" si="42">AVERAGE(H163:K163)</f>
        <v>552</v>
      </c>
      <c r="M163" s="40"/>
      <c r="N163" s="40" t="s">
        <v>254</v>
      </c>
      <c r="O163" s="40"/>
      <c r="P163" s="69">
        <v>518</v>
      </c>
      <c r="Q163" s="40">
        <f t="shared" si="39"/>
        <v>518</v>
      </c>
      <c r="R163" s="16">
        <f t="shared" ref="R163:R225" si="43">IF(G163&gt;0,(+G163+(L163*2)+(Q163*3))/6,IF(L163&gt;0,((L163*2)+(Q163*3))/5,Q163))</f>
        <v>543.5</v>
      </c>
      <c r="T163" s="6">
        <f t="shared" si="38"/>
        <v>2.8827759089926834E-3</v>
      </c>
      <c r="V163" s="23">
        <f>+claims!D163</f>
        <v>4</v>
      </c>
      <c r="W163" s="23">
        <f>+claims!E163</f>
        <v>7</v>
      </c>
      <c r="X163" s="23">
        <f>+claims!F163</f>
        <v>10</v>
      </c>
      <c r="Z163" s="6">
        <f t="shared" si="32"/>
        <v>6.6334991708126038E-3</v>
      </c>
      <c r="AA163" s="6">
        <f t="shared" si="33"/>
        <v>1.2681159420289856E-2</v>
      </c>
      <c r="AB163" s="6">
        <f t="shared" si="35"/>
        <v>1.9305019305019305E-2</v>
      </c>
      <c r="AD163" s="6">
        <f t="shared" si="37"/>
        <v>1.4985145987741704E-2</v>
      </c>
    </row>
    <row r="164" spans="1:30" outlineLevel="1">
      <c r="A164" t="s">
        <v>255</v>
      </c>
      <c r="B164" t="s">
        <v>256</v>
      </c>
      <c r="C164" s="40"/>
      <c r="D164" s="40" t="s">
        <v>256</v>
      </c>
      <c r="E164" s="40"/>
      <c r="F164" s="69">
        <v>11.5</v>
      </c>
      <c r="G164" s="40">
        <f t="shared" si="40"/>
        <v>11.5</v>
      </c>
      <c r="H164" s="40"/>
      <c r="I164" s="40" t="s">
        <v>256</v>
      </c>
      <c r="J164" s="40"/>
      <c r="K164" s="69">
        <v>11.5</v>
      </c>
      <c r="L164" s="40">
        <f t="shared" si="42"/>
        <v>11.5</v>
      </c>
      <c r="M164" s="40"/>
      <c r="N164" s="40" t="s">
        <v>256</v>
      </c>
      <c r="O164" s="40"/>
      <c r="P164" s="69">
        <v>10</v>
      </c>
      <c r="Q164" s="40">
        <f t="shared" si="39"/>
        <v>10</v>
      </c>
      <c r="R164" s="16">
        <f t="shared" si="43"/>
        <v>10.75</v>
      </c>
      <c r="T164" s="6">
        <f t="shared" si="38"/>
        <v>5.7019026718806527E-5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6">
        <f t="shared" si="32"/>
        <v>0</v>
      </c>
      <c r="AA164" s="6">
        <f t="shared" si="33"/>
        <v>0</v>
      </c>
      <c r="AB164" s="6">
        <f t="shared" si="35"/>
        <v>0</v>
      </c>
      <c r="AD164" s="6">
        <f t="shared" si="37"/>
        <v>0</v>
      </c>
    </row>
    <row r="165" spans="1:30" outlineLevel="1">
      <c r="A165" t="s">
        <v>257</v>
      </c>
      <c r="B165" t="s">
        <v>258</v>
      </c>
      <c r="C165" s="40"/>
      <c r="D165" s="40" t="s">
        <v>258</v>
      </c>
      <c r="E165" s="40"/>
      <c r="F165" s="69">
        <v>9</v>
      </c>
      <c r="G165" s="40">
        <f t="shared" si="40"/>
        <v>9</v>
      </c>
      <c r="H165" s="40"/>
      <c r="I165" s="40" t="s">
        <v>258</v>
      </c>
      <c r="J165" s="40"/>
      <c r="K165" s="69">
        <v>8</v>
      </c>
      <c r="L165" s="40">
        <f t="shared" si="42"/>
        <v>8</v>
      </c>
      <c r="M165" s="40"/>
      <c r="N165" s="40" t="s">
        <v>258</v>
      </c>
      <c r="O165" s="40"/>
      <c r="P165" s="69">
        <v>9.5</v>
      </c>
      <c r="Q165" s="40">
        <f t="shared" si="39"/>
        <v>9.5</v>
      </c>
      <c r="R165" s="16">
        <f t="shared" si="43"/>
        <v>8.9166666666666661</v>
      </c>
      <c r="T165" s="6">
        <f t="shared" si="38"/>
        <v>4.729485161947518E-5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6">
        <f t="shared" si="32"/>
        <v>0</v>
      </c>
      <c r="AA165" s="6">
        <f t="shared" si="33"/>
        <v>0</v>
      </c>
      <c r="AB165" s="6">
        <f t="shared" si="35"/>
        <v>0</v>
      </c>
      <c r="AD165" s="6">
        <f t="shared" si="37"/>
        <v>0</v>
      </c>
    </row>
    <row r="166" spans="1:30" outlineLevel="1">
      <c r="A166" t="s">
        <v>259</v>
      </c>
      <c r="B166" t="s">
        <v>260</v>
      </c>
      <c r="C166" s="40"/>
      <c r="D166" s="40" t="s">
        <v>260</v>
      </c>
      <c r="E166" s="40"/>
      <c r="F166" s="69">
        <v>81.5</v>
      </c>
      <c r="G166" s="40">
        <f t="shared" si="40"/>
        <v>81.5</v>
      </c>
      <c r="H166" s="40"/>
      <c r="I166" s="40" t="s">
        <v>260</v>
      </c>
      <c r="J166" s="40"/>
      <c r="K166" s="69">
        <v>82.5</v>
      </c>
      <c r="L166" s="40">
        <f t="shared" si="42"/>
        <v>82.5</v>
      </c>
      <c r="M166" s="40"/>
      <c r="N166" s="40" t="s">
        <v>260</v>
      </c>
      <c r="O166" s="40"/>
      <c r="P166" s="69">
        <v>80</v>
      </c>
      <c r="Q166" s="40">
        <f t="shared" si="39"/>
        <v>80</v>
      </c>
      <c r="R166" s="16">
        <f t="shared" si="43"/>
        <v>81.083333333333329</v>
      </c>
      <c r="T166" s="6">
        <f t="shared" si="38"/>
        <v>4.3007374416588175E-4</v>
      </c>
      <c r="V166" s="23">
        <f>+claims!D166</f>
        <v>0</v>
      </c>
      <c r="W166" s="23">
        <f>+claims!E166</f>
        <v>1</v>
      </c>
      <c r="X166" s="23">
        <f>+claims!F166</f>
        <v>1</v>
      </c>
      <c r="Z166" s="6">
        <f t="shared" ref="Z166:Z228" si="44">IF(G166&gt;100,IF(V166&lt;1,0,+V166/G166),IF(V166&lt;1,0,+V166/100))</f>
        <v>0</v>
      </c>
      <c r="AA166" s="6">
        <f t="shared" ref="AA166:AA228" si="45">IF(L166&gt;100,IF(W166&lt;1,0,+W166/L166),IF(W166&lt;1,0,+W166/100))</f>
        <v>0.01</v>
      </c>
      <c r="AB166" s="6">
        <f t="shared" si="35"/>
        <v>0.01</v>
      </c>
      <c r="AD166" s="6">
        <f t="shared" si="37"/>
        <v>8.3333333333333332E-3</v>
      </c>
    </row>
    <row r="167" spans="1:30" outlineLevel="1">
      <c r="A167" t="s">
        <v>261</v>
      </c>
      <c r="B167" t="s">
        <v>262</v>
      </c>
      <c r="C167" s="40"/>
      <c r="D167" s="40" t="s">
        <v>262</v>
      </c>
      <c r="E167" s="40"/>
      <c r="F167" s="69">
        <v>5</v>
      </c>
      <c r="G167" s="40">
        <f t="shared" si="40"/>
        <v>5</v>
      </c>
      <c r="H167" s="40"/>
      <c r="I167" s="40" t="s">
        <v>262</v>
      </c>
      <c r="J167" s="40"/>
      <c r="K167" s="69">
        <v>7</v>
      </c>
      <c r="L167" s="40">
        <f t="shared" si="42"/>
        <v>7</v>
      </c>
      <c r="M167" s="40"/>
      <c r="N167" s="40" t="s">
        <v>262</v>
      </c>
      <c r="O167" s="40"/>
      <c r="P167" s="69">
        <v>7</v>
      </c>
      <c r="Q167" s="40">
        <f t="shared" si="39"/>
        <v>7</v>
      </c>
      <c r="R167" s="16">
        <f t="shared" si="43"/>
        <v>6.666666666666667</v>
      </c>
      <c r="T167" s="6">
        <f t="shared" si="38"/>
        <v>3.5360636724841262E-5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44"/>
        <v>0</v>
      </c>
      <c r="AA167" s="6">
        <f t="shared" si="45"/>
        <v>0</v>
      </c>
      <c r="AB167" s="6">
        <f t="shared" si="35"/>
        <v>0</v>
      </c>
      <c r="AD167" s="6">
        <f t="shared" si="37"/>
        <v>0</v>
      </c>
    </row>
    <row r="168" spans="1:30" outlineLevel="1">
      <c r="A168" t="s">
        <v>263</v>
      </c>
      <c r="B168" t="s">
        <v>264</v>
      </c>
      <c r="C168" s="40"/>
      <c r="D168" s="40" t="s">
        <v>264</v>
      </c>
      <c r="E168" s="40"/>
      <c r="F168" s="69">
        <v>31</v>
      </c>
      <c r="G168" s="40">
        <f t="shared" si="40"/>
        <v>31</v>
      </c>
      <c r="H168" s="40"/>
      <c r="I168" s="40" t="s">
        <v>264</v>
      </c>
      <c r="J168" s="40"/>
      <c r="K168" s="69">
        <v>31.5</v>
      </c>
      <c r="L168" s="40">
        <f t="shared" si="42"/>
        <v>31.5</v>
      </c>
      <c r="M168" s="40"/>
      <c r="N168" s="40" t="s">
        <v>264</v>
      </c>
      <c r="O168" s="40"/>
      <c r="P168" s="69">
        <v>33</v>
      </c>
      <c r="Q168" s="40">
        <f t="shared" si="39"/>
        <v>33</v>
      </c>
      <c r="R168" s="16">
        <f t="shared" si="43"/>
        <v>32.166666666666664</v>
      </c>
      <c r="T168" s="6">
        <f t="shared" si="38"/>
        <v>1.7061507219735906E-4</v>
      </c>
      <c r="V168" s="23">
        <f>+claims!D168</f>
        <v>0</v>
      </c>
      <c r="W168" s="23">
        <f>+claims!E168</f>
        <v>0</v>
      </c>
      <c r="X168" s="23">
        <f>+claims!F168</f>
        <v>0</v>
      </c>
      <c r="Z168" s="6">
        <f t="shared" si="44"/>
        <v>0</v>
      </c>
      <c r="AA168" s="6">
        <f t="shared" si="45"/>
        <v>0</v>
      </c>
      <c r="AB168" s="6">
        <f t="shared" si="35"/>
        <v>0</v>
      </c>
      <c r="AD168" s="6">
        <f t="shared" si="37"/>
        <v>0</v>
      </c>
    </row>
    <row r="169" spans="1:30" outlineLevel="1">
      <c r="A169" t="s">
        <v>265</v>
      </c>
      <c r="B169" t="s">
        <v>266</v>
      </c>
      <c r="C169" s="40"/>
      <c r="D169" s="40" t="s">
        <v>266</v>
      </c>
      <c r="E169" s="40"/>
      <c r="F169" s="69">
        <v>31</v>
      </c>
      <c r="G169" s="40">
        <f t="shared" si="40"/>
        <v>31</v>
      </c>
      <c r="H169" s="40"/>
      <c r="I169" s="40" t="s">
        <v>266</v>
      </c>
      <c r="J169" s="40"/>
      <c r="K169" s="69">
        <v>31</v>
      </c>
      <c r="L169" s="40">
        <f t="shared" si="42"/>
        <v>31</v>
      </c>
      <c r="M169" s="40"/>
      <c r="N169" s="40" t="s">
        <v>266</v>
      </c>
      <c r="O169" s="40"/>
      <c r="P169" s="69">
        <v>35</v>
      </c>
      <c r="Q169" s="40">
        <f t="shared" si="39"/>
        <v>35</v>
      </c>
      <c r="R169" s="16">
        <f t="shared" si="43"/>
        <v>33</v>
      </c>
      <c r="T169" s="6">
        <f t="shared" si="38"/>
        <v>1.7503515178796423E-4</v>
      </c>
      <c r="V169" s="23">
        <f>+claims!D169</f>
        <v>0</v>
      </c>
      <c r="W169" s="23">
        <f>+claims!E169</f>
        <v>0</v>
      </c>
      <c r="X169" s="23">
        <f>+claims!F169</f>
        <v>0</v>
      </c>
      <c r="Z169" s="6">
        <f t="shared" si="44"/>
        <v>0</v>
      </c>
      <c r="AA169" s="6">
        <f t="shared" si="45"/>
        <v>0</v>
      </c>
      <c r="AB169" s="6">
        <f t="shared" si="35"/>
        <v>0</v>
      </c>
      <c r="AD169" s="6">
        <f t="shared" si="37"/>
        <v>0</v>
      </c>
    </row>
    <row r="170" spans="1:30" outlineLevel="1">
      <c r="A170" t="s">
        <v>267</v>
      </c>
      <c r="B170" t="s">
        <v>268</v>
      </c>
      <c r="C170" s="40"/>
      <c r="D170" s="40" t="s">
        <v>268</v>
      </c>
      <c r="E170" s="40"/>
      <c r="F170" s="69">
        <v>212</v>
      </c>
      <c r="G170" s="40">
        <f t="shared" si="40"/>
        <v>212</v>
      </c>
      <c r="H170" s="40"/>
      <c r="I170" s="40" t="s">
        <v>268</v>
      </c>
      <c r="J170" s="40"/>
      <c r="K170" s="69">
        <v>215</v>
      </c>
      <c r="L170" s="40">
        <f t="shared" si="42"/>
        <v>215</v>
      </c>
      <c r="M170" s="40"/>
      <c r="N170" s="40" t="s">
        <v>268</v>
      </c>
      <c r="O170" s="40"/>
      <c r="P170" s="69">
        <v>195</v>
      </c>
      <c r="Q170" s="40">
        <f t="shared" si="39"/>
        <v>195</v>
      </c>
      <c r="R170" s="16">
        <f t="shared" si="43"/>
        <v>204.5</v>
      </c>
      <c r="T170" s="6">
        <f t="shared" si="38"/>
        <v>1.0846875315345056E-3</v>
      </c>
      <c r="V170" s="23">
        <f>+claims!D170</f>
        <v>29</v>
      </c>
      <c r="W170" s="23">
        <f>+claims!E170</f>
        <v>6</v>
      </c>
      <c r="X170" s="23">
        <f>+claims!F170</f>
        <v>13</v>
      </c>
      <c r="Z170" s="6">
        <f t="shared" si="44"/>
        <v>0.13679245283018868</v>
      </c>
      <c r="AA170" s="6">
        <f t="shared" si="45"/>
        <v>2.7906976744186046E-2</v>
      </c>
      <c r="AB170" s="6">
        <f t="shared" ref="AB170:AB234" si="46">IF(Q170&gt;100,IF(X170&lt;1,0,+X170/Q170),IF(X170&lt;1,0,+X170/100))</f>
        <v>6.6666666666666666E-2</v>
      </c>
      <c r="AD170" s="6">
        <f t="shared" si="37"/>
        <v>6.5434401053093463E-2</v>
      </c>
    </row>
    <row r="171" spans="1:30" outlineLevel="1">
      <c r="A171" t="s">
        <v>269</v>
      </c>
      <c r="B171" t="s">
        <v>270</v>
      </c>
      <c r="C171" s="40"/>
      <c r="D171" s="40" t="s">
        <v>270</v>
      </c>
      <c r="E171" s="40"/>
      <c r="F171" s="69">
        <v>4</v>
      </c>
      <c r="G171" s="40">
        <f t="shared" si="40"/>
        <v>4</v>
      </c>
      <c r="H171" s="40"/>
      <c r="I171" s="40" t="s">
        <v>270</v>
      </c>
      <c r="J171" s="40"/>
      <c r="K171" s="69">
        <v>5</v>
      </c>
      <c r="L171" s="40">
        <f t="shared" si="42"/>
        <v>5</v>
      </c>
      <c r="M171" s="40"/>
      <c r="N171" s="40" t="s">
        <v>270</v>
      </c>
      <c r="O171" s="40"/>
      <c r="P171" s="69">
        <v>6</v>
      </c>
      <c r="Q171" s="40">
        <f t="shared" ref="Q171:Q199" si="47">AVERAGE(M171:P171)</f>
        <v>6</v>
      </c>
      <c r="R171" s="16">
        <f t="shared" si="43"/>
        <v>5.333333333333333</v>
      </c>
      <c r="T171" s="6">
        <f t="shared" si="38"/>
        <v>2.8288509379873006E-5</v>
      </c>
      <c r="V171" s="23">
        <f>+claims!D171</f>
        <v>0</v>
      </c>
      <c r="W171" s="23">
        <f>+claims!E171</f>
        <v>0</v>
      </c>
      <c r="X171" s="23">
        <f>+claims!F171</f>
        <v>0</v>
      </c>
      <c r="Z171" s="6">
        <f t="shared" si="44"/>
        <v>0</v>
      </c>
      <c r="AA171" s="6">
        <f t="shared" si="45"/>
        <v>0</v>
      </c>
      <c r="AB171" s="6">
        <f t="shared" si="46"/>
        <v>0</v>
      </c>
      <c r="AD171" s="6">
        <f t="shared" si="37"/>
        <v>0</v>
      </c>
    </row>
    <row r="172" spans="1:30" outlineLevel="1">
      <c r="A172" t="s">
        <v>271</v>
      </c>
      <c r="B172" t="s">
        <v>272</v>
      </c>
      <c r="C172" s="40"/>
      <c r="D172" s="40" t="s">
        <v>272</v>
      </c>
      <c r="E172" s="40"/>
      <c r="F172" s="69">
        <v>11</v>
      </c>
      <c r="G172" s="40">
        <f t="shared" si="40"/>
        <v>11</v>
      </c>
      <c r="H172" s="40"/>
      <c r="I172" s="40" t="s">
        <v>272</v>
      </c>
      <c r="J172" s="40"/>
      <c r="K172" s="69">
        <v>11</v>
      </c>
      <c r="L172" s="40">
        <f t="shared" si="42"/>
        <v>11</v>
      </c>
      <c r="M172" s="40"/>
      <c r="N172" s="40" t="s">
        <v>272</v>
      </c>
      <c r="O172" s="40"/>
      <c r="P172" s="69">
        <v>11</v>
      </c>
      <c r="Q172" s="40">
        <f t="shared" si="47"/>
        <v>11</v>
      </c>
      <c r="R172" s="16">
        <f t="shared" si="43"/>
        <v>11</v>
      </c>
      <c r="T172" s="6">
        <f t="shared" si="38"/>
        <v>5.8345050595988077E-5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44"/>
        <v>0</v>
      </c>
      <c r="AA172" s="6">
        <f t="shared" si="45"/>
        <v>0</v>
      </c>
      <c r="AB172" s="6">
        <f t="shared" si="46"/>
        <v>0</v>
      </c>
      <c r="AD172" s="6">
        <f t="shared" si="37"/>
        <v>0</v>
      </c>
    </row>
    <row r="173" spans="1:30" outlineLevel="1">
      <c r="A173" t="s">
        <v>273</v>
      </c>
      <c r="B173" t="s">
        <v>274</v>
      </c>
      <c r="C173" s="40"/>
      <c r="D173" s="40" t="s">
        <v>274</v>
      </c>
      <c r="E173" s="40"/>
      <c r="F173" s="69">
        <v>9</v>
      </c>
      <c r="G173" s="40">
        <f t="shared" si="40"/>
        <v>9</v>
      </c>
      <c r="H173" s="40"/>
      <c r="I173" s="40" t="s">
        <v>274</v>
      </c>
      <c r="J173" s="40"/>
      <c r="K173" s="69">
        <v>9</v>
      </c>
      <c r="L173" s="40">
        <f t="shared" si="42"/>
        <v>9</v>
      </c>
      <c r="M173" s="40"/>
      <c r="N173" s="40" t="s">
        <v>274</v>
      </c>
      <c r="O173" s="40"/>
      <c r="P173" s="69">
        <v>9</v>
      </c>
      <c r="Q173" s="40">
        <f t="shared" si="47"/>
        <v>9</v>
      </c>
      <c r="R173" s="16">
        <f t="shared" si="43"/>
        <v>9</v>
      </c>
      <c r="T173" s="6">
        <f t="shared" si="38"/>
        <v>4.7736859578535695E-5</v>
      </c>
      <c r="V173" s="23">
        <f>+claims!D173</f>
        <v>0</v>
      </c>
      <c r="W173" s="23">
        <f>+claims!E173</f>
        <v>0</v>
      </c>
      <c r="X173" s="23">
        <f>+claims!F173</f>
        <v>0</v>
      </c>
      <c r="Z173" s="6">
        <f t="shared" si="44"/>
        <v>0</v>
      </c>
      <c r="AA173" s="6">
        <f t="shared" si="45"/>
        <v>0</v>
      </c>
      <c r="AB173" s="6">
        <f t="shared" si="46"/>
        <v>0</v>
      </c>
      <c r="AD173" s="6">
        <f t="shared" si="37"/>
        <v>0</v>
      </c>
    </row>
    <row r="174" spans="1:30" outlineLevel="1">
      <c r="A174" t="s">
        <v>275</v>
      </c>
      <c r="B174" t="s">
        <v>276</v>
      </c>
      <c r="C174" s="40"/>
      <c r="D174" s="40" t="s">
        <v>276</v>
      </c>
      <c r="E174" s="40"/>
      <c r="F174" s="69">
        <v>16</v>
      </c>
      <c r="G174" s="40">
        <f t="shared" si="40"/>
        <v>16</v>
      </c>
      <c r="H174" s="40"/>
      <c r="I174" s="40" t="s">
        <v>276</v>
      </c>
      <c r="J174" s="40"/>
      <c r="K174" s="69">
        <v>16</v>
      </c>
      <c r="L174" s="40">
        <f t="shared" si="42"/>
        <v>16</v>
      </c>
      <c r="M174" s="40"/>
      <c r="N174" s="40" t="s">
        <v>276</v>
      </c>
      <c r="O174" s="40"/>
      <c r="P174" s="69">
        <v>16</v>
      </c>
      <c r="Q174" s="40">
        <f t="shared" si="47"/>
        <v>16</v>
      </c>
      <c r="R174" s="16">
        <f t="shared" si="43"/>
        <v>16</v>
      </c>
      <c r="T174" s="6">
        <f t="shared" si="38"/>
        <v>8.4865528139619015E-5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44"/>
        <v>0</v>
      </c>
      <c r="AA174" s="6">
        <f t="shared" si="45"/>
        <v>0</v>
      </c>
      <c r="AB174" s="6">
        <f t="shared" si="46"/>
        <v>0</v>
      </c>
      <c r="AD174" s="6">
        <f t="shared" si="37"/>
        <v>0</v>
      </c>
    </row>
    <row r="175" spans="1:30" outlineLevel="1">
      <c r="A175" t="s">
        <v>277</v>
      </c>
      <c r="B175" t="s">
        <v>278</v>
      </c>
      <c r="C175" s="40"/>
      <c r="D175" s="40" t="s">
        <v>278</v>
      </c>
      <c r="E175" s="40"/>
      <c r="F175" s="69">
        <v>2.5</v>
      </c>
      <c r="G175" s="40">
        <f t="shared" si="40"/>
        <v>2.5</v>
      </c>
      <c r="H175" s="40"/>
      <c r="I175" s="40" t="s">
        <v>278</v>
      </c>
      <c r="J175" s="40"/>
      <c r="K175" s="69">
        <v>2</v>
      </c>
      <c r="L175" s="40">
        <f t="shared" si="42"/>
        <v>2</v>
      </c>
      <c r="M175" s="40"/>
      <c r="N175" s="40" t="s">
        <v>278</v>
      </c>
      <c r="O175" s="40"/>
      <c r="P175" s="69">
        <v>2.5</v>
      </c>
      <c r="Q175" s="40">
        <f t="shared" si="47"/>
        <v>2.5</v>
      </c>
      <c r="R175" s="16">
        <f t="shared" si="43"/>
        <v>2.3333333333333335</v>
      </c>
      <c r="T175" s="6">
        <f t="shared" si="38"/>
        <v>1.2376222853694442E-5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44"/>
        <v>0</v>
      </c>
      <c r="AA175" s="6">
        <f t="shared" si="45"/>
        <v>0</v>
      </c>
      <c r="AB175" s="6">
        <f t="shared" si="46"/>
        <v>0</v>
      </c>
      <c r="AD175" s="6">
        <f t="shared" si="37"/>
        <v>0</v>
      </c>
    </row>
    <row r="176" spans="1:30" outlineLevel="1">
      <c r="A176" t="s">
        <v>279</v>
      </c>
      <c r="B176" t="s">
        <v>280</v>
      </c>
      <c r="C176" s="40"/>
      <c r="D176" s="40" t="s">
        <v>280</v>
      </c>
      <c r="E176" s="40"/>
      <c r="F176" s="69">
        <v>80.5</v>
      </c>
      <c r="G176" s="40">
        <f t="shared" si="40"/>
        <v>80.5</v>
      </c>
      <c r="H176" s="40"/>
      <c r="I176" s="40" t="s">
        <v>280</v>
      </c>
      <c r="J176" s="40"/>
      <c r="K176" s="69">
        <v>79.5</v>
      </c>
      <c r="L176" s="40">
        <f t="shared" si="42"/>
        <v>79.5</v>
      </c>
      <c r="M176" s="40"/>
      <c r="N176" s="40" t="s">
        <v>280</v>
      </c>
      <c r="O176" s="40"/>
      <c r="P176" s="69">
        <v>81</v>
      </c>
      <c r="Q176" s="40">
        <f t="shared" si="47"/>
        <v>81</v>
      </c>
      <c r="R176" s="16">
        <f t="shared" si="43"/>
        <v>80.416666666666671</v>
      </c>
      <c r="T176" s="6">
        <f t="shared" si="38"/>
        <v>4.2653768049339769E-4</v>
      </c>
      <c r="V176" s="23">
        <f>+claims!D176</f>
        <v>0</v>
      </c>
      <c r="W176" s="23">
        <f>+claims!E176</f>
        <v>0</v>
      </c>
      <c r="X176" s="23">
        <f>+claims!F176</f>
        <v>1</v>
      </c>
      <c r="Z176" s="6">
        <f t="shared" si="44"/>
        <v>0</v>
      </c>
      <c r="AA176" s="6">
        <f t="shared" si="45"/>
        <v>0</v>
      </c>
      <c r="AB176" s="6">
        <f t="shared" si="46"/>
        <v>0.01</v>
      </c>
      <c r="AD176" s="6">
        <f t="shared" si="37"/>
        <v>5.0000000000000001E-3</v>
      </c>
    </row>
    <row r="177" spans="1:30" outlineLevel="1">
      <c r="A177" t="s">
        <v>281</v>
      </c>
      <c r="B177" t="s">
        <v>282</v>
      </c>
      <c r="C177" s="40"/>
      <c r="D177" s="40" t="s">
        <v>282</v>
      </c>
      <c r="E177" s="40"/>
      <c r="F177" s="69">
        <v>52.5</v>
      </c>
      <c r="G177" s="40">
        <f t="shared" si="40"/>
        <v>52.5</v>
      </c>
      <c r="H177" s="40"/>
      <c r="I177" s="40" t="s">
        <v>282</v>
      </c>
      <c r="J177" s="40"/>
      <c r="K177" s="69">
        <v>52.5</v>
      </c>
      <c r="L177" s="40">
        <f t="shared" si="42"/>
        <v>52.5</v>
      </c>
      <c r="M177" s="40"/>
      <c r="N177" s="40" t="s">
        <v>282</v>
      </c>
      <c r="O177" s="40"/>
      <c r="P177" s="69">
        <v>55.5</v>
      </c>
      <c r="Q177" s="40">
        <f t="shared" si="47"/>
        <v>55.5</v>
      </c>
      <c r="R177" s="16">
        <f t="shared" si="43"/>
        <v>54</v>
      </c>
      <c r="T177" s="6">
        <f t="shared" si="38"/>
        <v>2.8642115747121421E-4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44"/>
        <v>0</v>
      </c>
      <c r="AA177" s="6">
        <f t="shared" si="45"/>
        <v>0</v>
      </c>
      <c r="AB177" s="6">
        <f t="shared" si="46"/>
        <v>0</v>
      </c>
      <c r="AD177" s="6">
        <f t="shared" si="37"/>
        <v>0</v>
      </c>
    </row>
    <row r="178" spans="1:30" outlineLevel="1">
      <c r="A178" t="s">
        <v>283</v>
      </c>
      <c r="B178" t="s">
        <v>284</v>
      </c>
      <c r="C178" s="40"/>
      <c r="D178" s="40" t="s">
        <v>284</v>
      </c>
      <c r="E178" s="40"/>
      <c r="F178" s="69">
        <v>6</v>
      </c>
      <c r="G178" s="40">
        <f t="shared" si="40"/>
        <v>6</v>
      </c>
      <c r="H178" s="40"/>
      <c r="I178" s="40" t="s">
        <v>284</v>
      </c>
      <c r="J178" s="40"/>
      <c r="K178" s="69">
        <v>6</v>
      </c>
      <c r="L178" s="40">
        <f t="shared" si="42"/>
        <v>6</v>
      </c>
      <c r="M178" s="40"/>
      <c r="N178" s="40" t="s">
        <v>284</v>
      </c>
      <c r="O178" s="40"/>
      <c r="P178" s="69">
        <v>5</v>
      </c>
      <c r="Q178" s="40">
        <f t="shared" si="47"/>
        <v>5</v>
      </c>
      <c r="R178" s="16">
        <f t="shared" si="43"/>
        <v>5.5</v>
      </c>
      <c r="T178" s="6">
        <f t="shared" si="38"/>
        <v>2.9172525297994038E-5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44"/>
        <v>0</v>
      </c>
      <c r="AA178" s="6">
        <f t="shared" si="45"/>
        <v>0</v>
      </c>
      <c r="AB178" s="6">
        <f t="shared" si="46"/>
        <v>0</v>
      </c>
      <c r="AD178" s="6">
        <f t="shared" si="37"/>
        <v>0</v>
      </c>
    </row>
    <row r="179" spans="1:30" outlineLevel="1">
      <c r="A179" t="s">
        <v>285</v>
      </c>
      <c r="B179" t="s">
        <v>286</v>
      </c>
      <c r="C179" s="40"/>
      <c r="D179" s="40" t="s">
        <v>286</v>
      </c>
      <c r="E179" s="40"/>
      <c r="F179" s="69">
        <v>36.5</v>
      </c>
      <c r="G179" s="40">
        <f t="shared" si="40"/>
        <v>36.5</v>
      </c>
      <c r="H179" s="40"/>
      <c r="I179" s="40" t="s">
        <v>286</v>
      </c>
      <c r="J179" s="40"/>
      <c r="K179" s="69">
        <v>39</v>
      </c>
      <c r="L179" s="40">
        <f t="shared" si="42"/>
        <v>39</v>
      </c>
      <c r="M179" s="40"/>
      <c r="N179" s="40" t="s">
        <v>286</v>
      </c>
      <c r="O179" s="40"/>
      <c r="P179" s="69">
        <v>38</v>
      </c>
      <c r="Q179" s="40">
        <f t="shared" si="47"/>
        <v>38</v>
      </c>
      <c r="R179" s="16">
        <f t="shared" si="43"/>
        <v>38.083333333333336</v>
      </c>
      <c r="T179" s="6">
        <f t="shared" si="38"/>
        <v>2.019976372906557E-4</v>
      </c>
      <c r="V179" s="23">
        <f>+claims!D179</f>
        <v>0</v>
      </c>
      <c r="W179" s="23">
        <f>+claims!E179</f>
        <v>0</v>
      </c>
      <c r="X179" s="23">
        <f>+claims!F179</f>
        <v>0</v>
      </c>
      <c r="Z179" s="6">
        <f t="shared" si="44"/>
        <v>0</v>
      </c>
      <c r="AA179" s="6">
        <f t="shared" si="45"/>
        <v>0</v>
      </c>
      <c r="AB179" s="6">
        <f t="shared" si="46"/>
        <v>0</v>
      </c>
      <c r="AD179" s="6">
        <f t="shared" si="37"/>
        <v>0</v>
      </c>
    </row>
    <row r="180" spans="1:30" outlineLevel="1">
      <c r="A180" t="s">
        <v>287</v>
      </c>
      <c r="B180" t="s">
        <v>288</v>
      </c>
      <c r="C180" s="40"/>
      <c r="D180" s="40" t="s">
        <v>288</v>
      </c>
      <c r="E180" s="40"/>
      <c r="F180" s="69">
        <v>37</v>
      </c>
      <c r="G180" s="40">
        <f t="shared" si="40"/>
        <v>37</v>
      </c>
      <c r="H180" s="40"/>
      <c r="I180" s="40" t="s">
        <v>288</v>
      </c>
      <c r="J180" s="40"/>
      <c r="K180" s="69">
        <v>36.5</v>
      </c>
      <c r="L180" s="40">
        <f t="shared" si="42"/>
        <v>36.5</v>
      </c>
      <c r="M180" s="40"/>
      <c r="N180" s="40" t="s">
        <v>288</v>
      </c>
      <c r="O180" s="40"/>
      <c r="P180" s="69">
        <v>38</v>
      </c>
      <c r="Q180" s="40">
        <f t="shared" si="47"/>
        <v>38</v>
      </c>
      <c r="R180" s="16">
        <f t="shared" si="43"/>
        <v>37.333333333333336</v>
      </c>
      <c r="T180" s="6">
        <f t="shared" si="38"/>
        <v>1.9801956565911107E-4</v>
      </c>
      <c r="V180" s="23">
        <f>+claims!D180</f>
        <v>1</v>
      </c>
      <c r="W180" s="23">
        <f>+claims!E180</f>
        <v>0</v>
      </c>
      <c r="X180" s="23">
        <f>+claims!F180</f>
        <v>1</v>
      </c>
      <c r="Z180" s="6">
        <f t="shared" si="44"/>
        <v>0.01</v>
      </c>
      <c r="AA180" s="6">
        <f t="shared" si="45"/>
        <v>0</v>
      </c>
      <c r="AB180" s="6">
        <f t="shared" si="46"/>
        <v>0.01</v>
      </c>
      <c r="AD180" s="6">
        <f t="shared" si="37"/>
        <v>6.6666666666666671E-3</v>
      </c>
    </row>
    <row r="181" spans="1:30" outlineLevel="1">
      <c r="A181" t="s">
        <v>289</v>
      </c>
      <c r="B181" t="s">
        <v>290</v>
      </c>
      <c r="C181" s="40"/>
      <c r="D181" s="40" t="s">
        <v>290</v>
      </c>
      <c r="E181" s="40"/>
      <c r="F181" s="69">
        <v>27</v>
      </c>
      <c r="G181" s="40">
        <f t="shared" si="40"/>
        <v>27</v>
      </c>
      <c r="H181" s="40"/>
      <c r="I181" s="40" t="s">
        <v>290</v>
      </c>
      <c r="J181" s="40"/>
      <c r="K181" s="69">
        <v>26.5</v>
      </c>
      <c r="L181" s="40">
        <f t="shared" si="42"/>
        <v>26.5</v>
      </c>
      <c r="M181" s="40"/>
      <c r="N181" s="40" t="s">
        <v>290</v>
      </c>
      <c r="O181" s="40"/>
      <c r="P181" s="69">
        <v>24.5</v>
      </c>
      <c r="Q181" s="40">
        <f t="shared" si="47"/>
        <v>24.5</v>
      </c>
      <c r="R181" s="16">
        <f t="shared" si="43"/>
        <v>25.583333333333332</v>
      </c>
      <c r="T181" s="6">
        <f t="shared" si="38"/>
        <v>1.3569644343157833E-4</v>
      </c>
      <c r="V181" s="23">
        <f>+claims!D181</f>
        <v>0</v>
      </c>
      <c r="W181" s="23">
        <f>+claims!E181</f>
        <v>0</v>
      </c>
      <c r="X181" s="23">
        <f>+claims!F181</f>
        <v>0</v>
      </c>
      <c r="Z181" s="6">
        <f t="shared" si="44"/>
        <v>0</v>
      </c>
      <c r="AA181" s="6">
        <f t="shared" si="45"/>
        <v>0</v>
      </c>
      <c r="AB181" s="6">
        <f t="shared" si="46"/>
        <v>0</v>
      </c>
      <c r="AD181" s="6">
        <f t="shared" si="37"/>
        <v>0</v>
      </c>
    </row>
    <row r="182" spans="1:30" outlineLevel="1">
      <c r="A182" t="s">
        <v>291</v>
      </c>
      <c r="B182" t="s">
        <v>292</v>
      </c>
      <c r="C182" s="40"/>
      <c r="D182" s="40" t="s">
        <v>292</v>
      </c>
      <c r="E182" s="40"/>
      <c r="F182" s="69">
        <v>13</v>
      </c>
      <c r="G182" s="40">
        <f t="shared" si="40"/>
        <v>13</v>
      </c>
      <c r="H182" s="40"/>
      <c r="I182" s="40" t="s">
        <v>292</v>
      </c>
      <c r="J182" s="40"/>
      <c r="K182" s="69">
        <v>13</v>
      </c>
      <c r="L182" s="40">
        <f t="shared" si="42"/>
        <v>13</v>
      </c>
      <c r="M182" s="40"/>
      <c r="N182" s="40" t="s">
        <v>292</v>
      </c>
      <c r="O182" s="40"/>
      <c r="P182" s="69">
        <v>12</v>
      </c>
      <c r="Q182" s="40">
        <f t="shared" si="47"/>
        <v>12</v>
      </c>
      <c r="R182" s="16">
        <f t="shared" si="43"/>
        <v>12.5</v>
      </c>
      <c r="T182" s="6">
        <f t="shared" si="38"/>
        <v>6.6301193859077351E-5</v>
      </c>
      <c r="V182" s="23">
        <f>+claims!D182</f>
        <v>0</v>
      </c>
      <c r="W182" s="23">
        <f>+claims!E182</f>
        <v>0</v>
      </c>
      <c r="X182" s="23">
        <f>+claims!F182</f>
        <v>0</v>
      </c>
      <c r="Z182" s="6">
        <f t="shared" si="44"/>
        <v>0</v>
      </c>
      <c r="AA182" s="6">
        <f t="shared" si="45"/>
        <v>0</v>
      </c>
      <c r="AB182" s="6">
        <f t="shared" si="46"/>
        <v>0</v>
      </c>
      <c r="AD182" s="6">
        <f t="shared" si="37"/>
        <v>0</v>
      </c>
    </row>
    <row r="183" spans="1:30" outlineLevel="1">
      <c r="A183" t="s">
        <v>293</v>
      </c>
      <c r="B183" t="s">
        <v>294</v>
      </c>
      <c r="C183" s="40"/>
      <c r="D183" s="40" t="s">
        <v>294</v>
      </c>
      <c r="E183" s="40"/>
      <c r="F183" s="69">
        <v>13</v>
      </c>
      <c r="G183" s="40">
        <f t="shared" si="40"/>
        <v>13</v>
      </c>
      <c r="H183" s="40"/>
      <c r="I183" s="40" t="s">
        <v>294</v>
      </c>
      <c r="J183" s="40"/>
      <c r="K183" s="69">
        <v>15</v>
      </c>
      <c r="L183" s="40">
        <f t="shared" si="42"/>
        <v>15</v>
      </c>
      <c r="M183" s="40"/>
      <c r="N183" s="40" t="s">
        <v>294</v>
      </c>
      <c r="O183" s="40"/>
      <c r="P183" s="69">
        <v>16</v>
      </c>
      <c r="Q183" s="40">
        <f t="shared" si="47"/>
        <v>16</v>
      </c>
      <c r="R183" s="16">
        <f t="shared" si="43"/>
        <v>15.166666666666666</v>
      </c>
      <c r="T183" s="6">
        <f t="shared" si="38"/>
        <v>8.0445448549013856E-5</v>
      </c>
      <c r="V183" s="23">
        <f>+claims!D183</f>
        <v>0</v>
      </c>
      <c r="W183" s="23">
        <f>+claims!E183</f>
        <v>0</v>
      </c>
      <c r="X183" s="23">
        <f>+claims!F183</f>
        <v>0</v>
      </c>
      <c r="Z183" s="6">
        <f t="shared" si="44"/>
        <v>0</v>
      </c>
      <c r="AA183" s="6">
        <f t="shared" si="45"/>
        <v>0</v>
      </c>
      <c r="AB183" s="6">
        <f t="shared" si="46"/>
        <v>0</v>
      </c>
      <c r="AD183" s="6">
        <f t="shared" si="37"/>
        <v>0</v>
      </c>
    </row>
    <row r="184" spans="1:30" outlineLevel="1">
      <c r="A184" t="s">
        <v>295</v>
      </c>
      <c r="B184" t="s">
        <v>296</v>
      </c>
      <c r="C184" s="40"/>
      <c r="D184" s="40" t="s">
        <v>296</v>
      </c>
      <c r="E184" s="40"/>
      <c r="F184" s="69">
        <v>825</v>
      </c>
      <c r="G184" s="40">
        <f t="shared" si="40"/>
        <v>825</v>
      </c>
      <c r="H184" s="40"/>
      <c r="I184" s="40" t="s">
        <v>296</v>
      </c>
      <c r="J184" s="40"/>
      <c r="K184" s="69">
        <v>791.5</v>
      </c>
      <c r="L184" s="40">
        <f t="shared" si="42"/>
        <v>791.5</v>
      </c>
      <c r="M184" s="40"/>
      <c r="N184" s="40" t="s">
        <v>296</v>
      </c>
      <c r="O184" s="40"/>
      <c r="P184" s="69">
        <v>630.5</v>
      </c>
      <c r="Q184" s="40">
        <f t="shared" si="47"/>
        <v>630.5</v>
      </c>
      <c r="R184" s="16">
        <f t="shared" si="43"/>
        <v>716.58333333333337</v>
      </c>
      <c r="T184" s="6">
        <f t="shared" si="38"/>
        <v>3.8008264399613748E-3</v>
      </c>
      <c r="V184" s="23">
        <f>+claims!D184</f>
        <v>14</v>
      </c>
      <c r="W184" s="23">
        <f>+claims!E184</f>
        <v>10</v>
      </c>
      <c r="X184" s="23">
        <f>+claims!F184</f>
        <v>3</v>
      </c>
      <c r="Z184" s="6">
        <f t="shared" si="44"/>
        <v>1.6969696969696971E-2</v>
      </c>
      <c r="AA184" s="6">
        <f t="shared" si="45"/>
        <v>1.2634238787113077E-2</v>
      </c>
      <c r="AB184" s="6">
        <f t="shared" si="46"/>
        <v>4.7581284694686752E-3</v>
      </c>
      <c r="AD184" s="6">
        <f t="shared" si="37"/>
        <v>9.4187599920548589E-3</v>
      </c>
    </row>
    <row r="185" spans="1:30" outlineLevel="1">
      <c r="A185" t="s">
        <v>297</v>
      </c>
      <c r="B185" t="s">
        <v>298</v>
      </c>
      <c r="C185" s="40"/>
      <c r="D185" s="40" t="s">
        <v>298</v>
      </c>
      <c r="E185" s="40"/>
      <c r="F185" s="69">
        <v>12</v>
      </c>
      <c r="G185" s="40">
        <f t="shared" si="40"/>
        <v>12</v>
      </c>
      <c r="H185" s="40"/>
      <c r="I185" s="40" t="s">
        <v>298</v>
      </c>
      <c r="J185" s="40"/>
      <c r="K185" s="69">
        <v>11</v>
      </c>
      <c r="L185" s="40">
        <f t="shared" si="42"/>
        <v>11</v>
      </c>
      <c r="M185" s="40"/>
      <c r="N185" s="40" t="s">
        <v>298</v>
      </c>
      <c r="O185" s="40"/>
      <c r="P185" s="69">
        <v>12</v>
      </c>
      <c r="Q185" s="40">
        <f t="shared" si="47"/>
        <v>12</v>
      </c>
      <c r="R185" s="16">
        <f t="shared" si="43"/>
        <v>11.666666666666666</v>
      </c>
      <c r="T185" s="6">
        <f t="shared" si="38"/>
        <v>6.1881114268472193E-5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44"/>
        <v>0</v>
      </c>
      <c r="AA185" s="6">
        <f t="shared" si="45"/>
        <v>0</v>
      </c>
      <c r="AB185" s="6">
        <f t="shared" si="46"/>
        <v>0</v>
      </c>
      <c r="AD185" s="6">
        <f t="shared" si="37"/>
        <v>0</v>
      </c>
    </row>
    <row r="186" spans="1:30" outlineLevel="1">
      <c r="A186" t="s">
        <v>299</v>
      </c>
      <c r="B186" t="s">
        <v>300</v>
      </c>
      <c r="C186" s="40"/>
      <c r="D186" s="40" t="s">
        <v>300</v>
      </c>
      <c r="E186" s="40"/>
      <c r="F186" s="69">
        <v>3.5</v>
      </c>
      <c r="G186" s="40">
        <f t="shared" si="40"/>
        <v>3.5</v>
      </c>
      <c r="H186" s="40"/>
      <c r="I186" s="40" t="s">
        <v>300</v>
      </c>
      <c r="J186" s="40"/>
      <c r="K186" s="69">
        <v>4</v>
      </c>
      <c r="L186" s="40">
        <f t="shared" si="42"/>
        <v>4</v>
      </c>
      <c r="M186" s="40"/>
      <c r="N186" s="40" t="s">
        <v>300</v>
      </c>
      <c r="O186" s="40"/>
      <c r="P186" s="69">
        <v>3.5</v>
      </c>
      <c r="Q186" s="40">
        <f t="shared" si="47"/>
        <v>3.5</v>
      </c>
      <c r="R186" s="16">
        <f t="shared" si="43"/>
        <v>3.6666666666666665</v>
      </c>
      <c r="T186" s="6">
        <f t="shared" si="38"/>
        <v>1.9448350198662692E-5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44"/>
        <v>0</v>
      </c>
      <c r="AA186" s="6">
        <f t="shared" si="45"/>
        <v>0</v>
      </c>
      <c r="AB186" s="6">
        <f t="shared" si="46"/>
        <v>0</v>
      </c>
      <c r="AD186" s="6">
        <f t="shared" si="37"/>
        <v>0</v>
      </c>
    </row>
    <row r="187" spans="1:30" outlineLevel="1">
      <c r="A187" t="s">
        <v>301</v>
      </c>
      <c r="B187" t="s">
        <v>302</v>
      </c>
      <c r="C187" s="40"/>
      <c r="D187" s="40" t="s">
        <v>302</v>
      </c>
      <c r="E187" s="40"/>
      <c r="F187" s="69">
        <v>15.5</v>
      </c>
      <c r="G187" s="40">
        <f t="shared" si="40"/>
        <v>15.5</v>
      </c>
      <c r="H187" s="40"/>
      <c r="I187" s="40" t="s">
        <v>302</v>
      </c>
      <c r="J187" s="40"/>
      <c r="K187" s="69">
        <v>15</v>
      </c>
      <c r="L187" s="40">
        <f t="shared" si="42"/>
        <v>15</v>
      </c>
      <c r="M187" s="40"/>
      <c r="N187" s="40" t="s">
        <v>302</v>
      </c>
      <c r="O187" s="40"/>
      <c r="P187" s="69">
        <v>15</v>
      </c>
      <c r="Q187" s="40">
        <f t="shared" si="47"/>
        <v>15</v>
      </c>
      <c r="R187" s="16">
        <f t="shared" si="43"/>
        <v>15.083333333333334</v>
      </c>
      <c r="T187" s="6">
        <f t="shared" si="38"/>
        <v>8.0003440589953342E-5</v>
      </c>
      <c r="V187" s="23">
        <f>+claims!D187</f>
        <v>0</v>
      </c>
      <c r="W187" s="23">
        <f>+claims!E187</f>
        <v>0</v>
      </c>
      <c r="X187" s="23">
        <f>+claims!F187</f>
        <v>0</v>
      </c>
      <c r="Z187" s="6">
        <f t="shared" si="44"/>
        <v>0</v>
      </c>
      <c r="AA187" s="6">
        <f t="shared" si="45"/>
        <v>0</v>
      </c>
      <c r="AB187" s="6">
        <f t="shared" si="46"/>
        <v>0</v>
      </c>
      <c r="AD187" s="6">
        <f t="shared" si="37"/>
        <v>0</v>
      </c>
    </row>
    <row r="188" spans="1:30" outlineLevel="1">
      <c r="A188" t="s">
        <v>303</v>
      </c>
      <c r="B188" t="s">
        <v>304</v>
      </c>
      <c r="C188" s="40"/>
      <c r="D188" s="40" t="s">
        <v>304</v>
      </c>
      <c r="E188" s="40"/>
      <c r="F188" s="69">
        <v>218.5</v>
      </c>
      <c r="G188" s="40">
        <f t="shared" si="40"/>
        <v>218.5</v>
      </c>
      <c r="H188" s="40"/>
      <c r="I188" s="40" t="s">
        <v>304</v>
      </c>
      <c r="J188" s="40"/>
      <c r="K188" s="69">
        <v>228.5</v>
      </c>
      <c r="L188" s="40">
        <f t="shared" si="42"/>
        <v>228.5</v>
      </c>
      <c r="M188" s="40"/>
      <c r="N188" s="40" t="s">
        <v>304</v>
      </c>
      <c r="O188" s="40"/>
      <c r="P188" s="69">
        <v>237</v>
      </c>
      <c r="Q188" s="40">
        <f t="shared" si="47"/>
        <v>237</v>
      </c>
      <c r="R188" s="16">
        <f t="shared" si="43"/>
        <v>231.08333333333334</v>
      </c>
      <c r="T188" s="6">
        <f t="shared" si="38"/>
        <v>1.2256880704748102E-3</v>
      </c>
      <c r="V188" s="23">
        <f>+claims!D188</f>
        <v>1</v>
      </c>
      <c r="W188" s="23">
        <f>+claims!E188</f>
        <v>1</v>
      </c>
      <c r="X188" s="23">
        <f>+claims!F188</f>
        <v>4</v>
      </c>
      <c r="Z188" s="6">
        <f t="shared" si="44"/>
        <v>4.5766590389016018E-3</v>
      </c>
      <c r="AA188" s="6">
        <f t="shared" si="45"/>
        <v>4.3763676148796497E-3</v>
      </c>
      <c r="AB188" s="6">
        <f t="shared" si="46"/>
        <v>1.6877637130801686E-2</v>
      </c>
      <c r="AD188" s="6">
        <f t="shared" si="37"/>
        <v>1.0660384276844325E-2</v>
      </c>
    </row>
    <row r="189" spans="1:30" outlineLevel="1">
      <c r="A189" t="s">
        <v>305</v>
      </c>
      <c r="B189" t="s">
        <v>306</v>
      </c>
      <c r="C189" s="40"/>
      <c r="D189" s="40" t="s">
        <v>306</v>
      </c>
      <c r="E189" s="40"/>
      <c r="F189" s="69">
        <v>12.5</v>
      </c>
      <c r="G189" s="40">
        <f t="shared" si="40"/>
        <v>12.5</v>
      </c>
      <c r="H189" s="40"/>
      <c r="I189" s="40" t="s">
        <v>306</v>
      </c>
      <c r="J189" s="40"/>
      <c r="K189" s="69">
        <v>12.5</v>
      </c>
      <c r="L189" s="40">
        <f t="shared" si="42"/>
        <v>12.5</v>
      </c>
      <c r="M189" s="40"/>
      <c r="N189" s="40" t="s">
        <v>306</v>
      </c>
      <c r="O189" s="40"/>
      <c r="P189" s="69">
        <v>10.5</v>
      </c>
      <c r="Q189" s="40">
        <f t="shared" si="47"/>
        <v>10.5</v>
      </c>
      <c r="R189" s="16">
        <f t="shared" si="43"/>
        <v>11.5</v>
      </c>
      <c r="T189" s="6">
        <f t="shared" si="38"/>
        <v>6.0997098350351171E-5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44"/>
        <v>0</v>
      </c>
      <c r="AA189" s="6">
        <f t="shared" si="45"/>
        <v>0</v>
      </c>
      <c r="AB189" s="6">
        <f t="shared" si="46"/>
        <v>0</v>
      </c>
      <c r="AD189" s="6">
        <f t="shared" si="37"/>
        <v>0</v>
      </c>
    </row>
    <row r="190" spans="1:30" outlineLevel="1">
      <c r="A190" t="s">
        <v>307</v>
      </c>
      <c r="B190" t="s">
        <v>308</v>
      </c>
      <c r="C190" s="40"/>
      <c r="D190" s="40" t="s">
        <v>308</v>
      </c>
      <c r="E190" s="40"/>
      <c r="F190" s="69">
        <v>5</v>
      </c>
      <c r="G190" s="40">
        <f t="shared" si="40"/>
        <v>5</v>
      </c>
      <c r="H190" s="40"/>
      <c r="I190" s="40" t="s">
        <v>308</v>
      </c>
      <c r="J190" s="40"/>
      <c r="K190" s="69">
        <v>5</v>
      </c>
      <c r="L190" s="40">
        <f t="shared" si="42"/>
        <v>5</v>
      </c>
      <c r="M190" s="40"/>
      <c r="N190" s="40" t="s">
        <v>308</v>
      </c>
      <c r="O190" s="40"/>
      <c r="P190" s="69">
        <v>5.5</v>
      </c>
      <c r="Q190" s="40">
        <f t="shared" si="47"/>
        <v>5.5</v>
      </c>
      <c r="R190" s="16">
        <f t="shared" si="43"/>
        <v>5.25</v>
      </c>
      <c r="T190" s="6">
        <f t="shared" si="38"/>
        <v>2.7846501420812492E-5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6">
        <f t="shared" si="44"/>
        <v>0</v>
      </c>
      <c r="AA190" s="6">
        <f t="shared" si="45"/>
        <v>0</v>
      </c>
      <c r="AB190" s="6">
        <f t="shared" si="46"/>
        <v>0</v>
      </c>
      <c r="AD190" s="6">
        <f t="shared" si="37"/>
        <v>0</v>
      </c>
    </row>
    <row r="191" spans="1:30" outlineLevel="1">
      <c r="A191" t="s">
        <v>309</v>
      </c>
      <c r="B191" t="s">
        <v>310</v>
      </c>
      <c r="C191" s="40"/>
      <c r="D191" s="40" t="s">
        <v>310</v>
      </c>
      <c r="E191" s="40"/>
      <c r="F191" s="69">
        <v>19</v>
      </c>
      <c r="G191" s="40">
        <f t="shared" si="40"/>
        <v>19</v>
      </c>
      <c r="H191" s="40"/>
      <c r="I191" s="40" t="s">
        <v>310</v>
      </c>
      <c r="J191" s="40"/>
      <c r="K191" s="69">
        <v>18.5</v>
      </c>
      <c r="L191" s="40">
        <f t="shared" si="42"/>
        <v>18.5</v>
      </c>
      <c r="M191" s="40"/>
      <c r="N191" s="40" t="s">
        <v>310</v>
      </c>
      <c r="O191" s="40"/>
      <c r="P191" s="69">
        <v>18.5</v>
      </c>
      <c r="Q191" s="40">
        <f t="shared" si="47"/>
        <v>18.5</v>
      </c>
      <c r="R191" s="16">
        <f t="shared" si="43"/>
        <v>18.583333333333332</v>
      </c>
      <c r="T191" s="6">
        <f t="shared" si="38"/>
        <v>9.8567774870495005E-5</v>
      </c>
      <c r="V191" s="23">
        <f>+claims!D191</f>
        <v>0</v>
      </c>
      <c r="W191" s="23">
        <f>+claims!E191</f>
        <v>0</v>
      </c>
      <c r="X191" s="23">
        <f>+claims!F191</f>
        <v>0</v>
      </c>
      <c r="Z191" s="6">
        <f t="shared" si="44"/>
        <v>0</v>
      </c>
      <c r="AA191" s="6">
        <f t="shared" si="45"/>
        <v>0</v>
      </c>
      <c r="AB191" s="6">
        <f t="shared" si="46"/>
        <v>0</v>
      </c>
      <c r="AD191" s="6">
        <f t="shared" si="37"/>
        <v>0</v>
      </c>
    </row>
    <row r="192" spans="1:30" outlineLevel="1">
      <c r="A192" t="s">
        <v>311</v>
      </c>
      <c r="B192" t="s">
        <v>312</v>
      </c>
      <c r="C192" s="40"/>
      <c r="D192" s="40" t="s">
        <v>312</v>
      </c>
      <c r="E192" s="40"/>
      <c r="F192" s="69">
        <v>14.5</v>
      </c>
      <c r="G192" s="40">
        <f t="shared" si="40"/>
        <v>14.5</v>
      </c>
      <c r="H192" s="40"/>
      <c r="I192" s="40" t="s">
        <v>312</v>
      </c>
      <c r="J192" s="40"/>
      <c r="K192" s="69">
        <v>16.5</v>
      </c>
      <c r="L192" s="40">
        <f t="shared" si="42"/>
        <v>16.5</v>
      </c>
      <c r="M192" s="40"/>
      <c r="N192" s="40" t="s">
        <v>312</v>
      </c>
      <c r="O192" s="40"/>
      <c r="P192" s="69">
        <v>14.5</v>
      </c>
      <c r="Q192" s="40">
        <f t="shared" si="47"/>
        <v>14.5</v>
      </c>
      <c r="R192" s="16">
        <f t="shared" si="43"/>
        <v>15.166666666666666</v>
      </c>
      <c r="T192" s="6">
        <f t="shared" si="38"/>
        <v>8.0445448549013856E-5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44"/>
        <v>0</v>
      </c>
      <c r="AA192" s="6">
        <f t="shared" si="45"/>
        <v>0</v>
      </c>
      <c r="AB192" s="6">
        <f t="shared" si="46"/>
        <v>0</v>
      </c>
      <c r="AD192" s="6">
        <f t="shared" ref="AD192:AD255" si="48">(+Z192+(AA192*2)+(AB192*3))/6</f>
        <v>0</v>
      </c>
    </row>
    <row r="193" spans="1:30" outlineLevel="1">
      <c r="A193" t="s">
        <v>313</v>
      </c>
      <c r="B193" t="s">
        <v>314</v>
      </c>
      <c r="C193" s="40"/>
      <c r="D193" s="40" t="s">
        <v>314</v>
      </c>
      <c r="E193" s="40"/>
      <c r="F193" s="69">
        <v>9</v>
      </c>
      <c r="G193" s="40">
        <f t="shared" si="40"/>
        <v>9</v>
      </c>
      <c r="H193" s="40"/>
      <c r="I193" s="40" t="s">
        <v>314</v>
      </c>
      <c r="J193" s="40"/>
      <c r="K193" s="69">
        <v>7</v>
      </c>
      <c r="L193" s="40">
        <f t="shared" si="42"/>
        <v>7</v>
      </c>
      <c r="M193" s="40"/>
      <c r="N193" s="40" t="s">
        <v>314</v>
      </c>
      <c r="O193" s="40"/>
      <c r="P193" s="69">
        <v>8</v>
      </c>
      <c r="Q193" s="40">
        <f t="shared" si="47"/>
        <v>8</v>
      </c>
      <c r="R193" s="16">
        <f t="shared" si="43"/>
        <v>7.833333333333333</v>
      </c>
      <c r="T193" s="6">
        <f t="shared" si="38"/>
        <v>4.1548748151688478E-5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6">
        <f t="shared" si="44"/>
        <v>0</v>
      </c>
      <c r="AA193" s="6">
        <f t="shared" si="45"/>
        <v>0</v>
      </c>
      <c r="AB193" s="6">
        <f t="shared" si="46"/>
        <v>0</v>
      </c>
      <c r="AD193" s="6">
        <f t="shared" si="48"/>
        <v>0</v>
      </c>
    </row>
    <row r="194" spans="1:30" outlineLevel="1">
      <c r="A194" t="s">
        <v>315</v>
      </c>
      <c r="B194" t="s">
        <v>316</v>
      </c>
      <c r="C194" s="40"/>
      <c r="D194" s="40" t="s">
        <v>316</v>
      </c>
      <c r="E194" s="40"/>
      <c r="F194" s="69">
        <v>21</v>
      </c>
      <c r="G194" s="40">
        <f t="shared" si="40"/>
        <v>21</v>
      </c>
      <c r="H194" s="40"/>
      <c r="I194" s="40" t="s">
        <v>316</v>
      </c>
      <c r="J194" s="40"/>
      <c r="K194" s="69">
        <v>20</v>
      </c>
      <c r="L194" s="40">
        <f t="shared" si="42"/>
        <v>20</v>
      </c>
      <c r="M194" s="40"/>
      <c r="N194" s="40" t="s">
        <v>316</v>
      </c>
      <c r="O194" s="40"/>
      <c r="P194" s="69">
        <v>19</v>
      </c>
      <c r="Q194" s="40">
        <f t="shared" si="47"/>
        <v>19</v>
      </c>
      <c r="R194" s="16">
        <f t="shared" si="43"/>
        <v>19.666666666666668</v>
      </c>
      <c r="T194" s="6">
        <f t="shared" ref="T194:T261" si="49">+R194/$R$264</f>
        <v>1.0431387833828172E-4</v>
      </c>
      <c r="V194" s="23">
        <f>+claims!D194</f>
        <v>0</v>
      </c>
      <c r="W194" s="23">
        <f>+claims!E194</f>
        <v>0</v>
      </c>
      <c r="X194" s="23">
        <f>+claims!F194</f>
        <v>0</v>
      </c>
      <c r="Z194" s="6">
        <f t="shared" si="44"/>
        <v>0</v>
      </c>
      <c r="AA194" s="6">
        <f t="shared" si="45"/>
        <v>0</v>
      </c>
      <c r="AB194" s="6">
        <f t="shared" si="46"/>
        <v>0</v>
      </c>
      <c r="AD194" s="6">
        <f t="shared" si="48"/>
        <v>0</v>
      </c>
    </row>
    <row r="195" spans="1:30" outlineLevel="1">
      <c r="A195" t="s">
        <v>317</v>
      </c>
      <c r="B195" t="s">
        <v>318</v>
      </c>
      <c r="C195" s="40"/>
      <c r="D195" s="40" t="s">
        <v>318</v>
      </c>
      <c r="E195" s="40"/>
      <c r="F195" s="69">
        <v>7.5</v>
      </c>
      <c r="G195" s="40">
        <f t="shared" si="40"/>
        <v>7.5</v>
      </c>
      <c r="H195" s="40"/>
      <c r="I195" s="40" t="s">
        <v>318</v>
      </c>
      <c r="J195" s="40"/>
      <c r="K195" s="69">
        <v>8.5</v>
      </c>
      <c r="L195" s="40">
        <f t="shared" si="42"/>
        <v>8.5</v>
      </c>
      <c r="M195" s="40"/>
      <c r="N195" s="40" t="s">
        <v>318</v>
      </c>
      <c r="O195" s="40"/>
      <c r="P195" s="69">
        <v>7.5</v>
      </c>
      <c r="Q195" s="40">
        <f t="shared" si="47"/>
        <v>7.5</v>
      </c>
      <c r="R195" s="16">
        <f t="shared" si="43"/>
        <v>7.833333333333333</v>
      </c>
      <c r="T195" s="6">
        <f t="shared" si="49"/>
        <v>4.1548748151688478E-5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6">
        <f t="shared" si="44"/>
        <v>0</v>
      </c>
      <c r="AA195" s="6">
        <f t="shared" si="45"/>
        <v>0</v>
      </c>
      <c r="AB195" s="6">
        <f t="shared" si="46"/>
        <v>0</v>
      </c>
      <c r="AD195" s="6">
        <f t="shared" si="48"/>
        <v>0</v>
      </c>
    </row>
    <row r="196" spans="1:30" outlineLevel="1">
      <c r="A196" t="s">
        <v>319</v>
      </c>
      <c r="B196" t="s">
        <v>320</v>
      </c>
      <c r="C196" s="40"/>
      <c r="D196" s="40" t="s">
        <v>320</v>
      </c>
      <c r="E196" s="40"/>
      <c r="F196" s="69">
        <v>15.5</v>
      </c>
      <c r="G196" s="40">
        <f t="shared" si="40"/>
        <v>15.5</v>
      </c>
      <c r="H196" s="40"/>
      <c r="I196" s="40" t="s">
        <v>320</v>
      </c>
      <c r="J196" s="40"/>
      <c r="K196" s="69">
        <v>17.5</v>
      </c>
      <c r="L196" s="40">
        <f t="shared" si="42"/>
        <v>17.5</v>
      </c>
      <c r="M196" s="40"/>
      <c r="N196" s="40" t="s">
        <v>320</v>
      </c>
      <c r="O196" s="40"/>
      <c r="P196" s="69">
        <v>20.5</v>
      </c>
      <c r="Q196" s="40">
        <f t="shared" si="47"/>
        <v>20.5</v>
      </c>
      <c r="R196" s="16">
        <f t="shared" si="43"/>
        <v>18.666666666666668</v>
      </c>
      <c r="T196" s="6">
        <f t="shared" si="49"/>
        <v>9.9009782829555533E-5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6">
        <f t="shared" si="44"/>
        <v>0</v>
      </c>
      <c r="AA196" s="6">
        <f t="shared" si="45"/>
        <v>0</v>
      </c>
      <c r="AB196" s="6">
        <f t="shared" si="46"/>
        <v>0</v>
      </c>
      <c r="AD196" s="6">
        <f t="shared" si="48"/>
        <v>0</v>
      </c>
    </row>
    <row r="197" spans="1:30" outlineLevel="1">
      <c r="A197" t="s">
        <v>321</v>
      </c>
      <c r="B197" t="s">
        <v>322</v>
      </c>
      <c r="C197" s="40"/>
      <c r="D197" s="40" t="s">
        <v>322</v>
      </c>
      <c r="E197" s="40"/>
      <c r="F197" s="69">
        <v>104.5</v>
      </c>
      <c r="G197" s="40">
        <f t="shared" si="40"/>
        <v>104.5</v>
      </c>
      <c r="H197" s="40"/>
      <c r="I197" s="40" t="s">
        <v>322</v>
      </c>
      <c r="J197" s="40"/>
      <c r="K197" s="69">
        <v>100.5</v>
      </c>
      <c r="L197" s="40">
        <f t="shared" si="42"/>
        <v>100.5</v>
      </c>
      <c r="M197" s="40"/>
      <c r="N197" s="40" t="s">
        <v>322</v>
      </c>
      <c r="O197" s="40"/>
      <c r="P197" s="69">
        <v>100.5</v>
      </c>
      <c r="Q197" s="40">
        <f t="shared" si="47"/>
        <v>100.5</v>
      </c>
      <c r="R197" s="16">
        <f t="shared" si="43"/>
        <v>101.16666666666667</v>
      </c>
      <c r="T197" s="6">
        <f t="shared" si="49"/>
        <v>5.3659766229946612E-4</v>
      </c>
      <c r="V197" s="23">
        <f>+claims!D197</f>
        <v>0</v>
      </c>
      <c r="W197" s="23">
        <f>+claims!E197</f>
        <v>1</v>
      </c>
      <c r="X197" s="23">
        <f>+claims!F197</f>
        <v>0</v>
      </c>
      <c r="Z197" s="6">
        <f t="shared" si="44"/>
        <v>0</v>
      </c>
      <c r="AA197" s="6">
        <f t="shared" si="45"/>
        <v>9.9502487562189053E-3</v>
      </c>
      <c r="AB197" s="6">
        <f t="shared" si="46"/>
        <v>0</v>
      </c>
      <c r="AD197" s="6">
        <f t="shared" si="48"/>
        <v>3.3167495854063019E-3</v>
      </c>
    </row>
    <row r="198" spans="1:30" outlineLevel="1">
      <c r="A198" t="s">
        <v>323</v>
      </c>
      <c r="B198" t="s">
        <v>324</v>
      </c>
      <c r="C198" s="40"/>
      <c r="D198" s="40" t="s">
        <v>324</v>
      </c>
      <c r="E198" s="40"/>
      <c r="F198" s="69">
        <v>14.5</v>
      </c>
      <c r="G198" s="40">
        <f t="shared" si="40"/>
        <v>14.5</v>
      </c>
      <c r="H198" s="40"/>
      <c r="I198" s="40" t="s">
        <v>324</v>
      </c>
      <c r="J198" s="40"/>
      <c r="K198" s="69">
        <v>15.5</v>
      </c>
      <c r="L198" s="40">
        <f t="shared" si="42"/>
        <v>15.5</v>
      </c>
      <c r="M198" s="40"/>
      <c r="N198" s="40" t="s">
        <v>324</v>
      </c>
      <c r="O198" s="40"/>
      <c r="P198" s="69">
        <v>15</v>
      </c>
      <c r="Q198" s="40">
        <f t="shared" si="47"/>
        <v>15</v>
      </c>
      <c r="R198" s="16">
        <f t="shared" si="43"/>
        <v>15.083333333333334</v>
      </c>
      <c r="T198" s="6">
        <f t="shared" si="49"/>
        <v>8.0003440589953342E-5</v>
      </c>
      <c r="V198" s="23">
        <f>+claims!D198</f>
        <v>0</v>
      </c>
      <c r="W198" s="23">
        <f>+claims!E198</f>
        <v>0</v>
      </c>
      <c r="X198" s="23">
        <f>+claims!F198</f>
        <v>0</v>
      </c>
      <c r="Z198" s="6">
        <f t="shared" si="44"/>
        <v>0</v>
      </c>
      <c r="AA198" s="6">
        <f t="shared" si="45"/>
        <v>0</v>
      </c>
      <c r="AB198" s="6">
        <f t="shared" si="46"/>
        <v>0</v>
      </c>
      <c r="AD198" s="6">
        <f t="shared" si="48"/>
        <v>0</v>
      </c>
    </row>
    <row r="199" spans="1:30" outlineLevel="1">
      <c r="A199" t="s">
        <v>325</v>
      </c>
      <c r="B199" t="s">
        <v>326</v>
      </c>
      <c r="C199" s="40"/>
      <c r="D199" s="40" t="s">
        <v>326</v>
      </c>
      <c r="E199" s="40"/>
      <c r="F199" s="69">
        <v>60</v>
      </c>
      <c r="G199" s="40">
        <f t="shared" si="40"/>
        <v>60</v>
      </c>
      <c r="H199" s="40"/>
      <c r="I199" s="40" t="s">
        <v>326</v>
      </c>
      <c r="J199" s="40"/>
      <c r="K199" s="69">
        <v>59</v>
      </c>
      <c r="L199" s="40">
        <f t="shared" si="42"/>
        <v>59</v>
      </c>
      <c r="M199" s="40"/>
      <c r="N199" s="40" t="s">
        <v>326</v>
      </c>
      <c r="O199" s="40"/>
      <c r="P199" s="69">
        <v>54.5</v>
      </c>
      <c r="Q199" s="40">
        <f t="shared" si="47"/>
        <v>54.5</v>
      </c>
      <c r="R199" s="16">
        <f t="shared" si="43"/>
        <v>56.916666666666664</v>
      </c>
      <c r="T199" s="6">
        <f t="shared" si="49"/>
        <v>3.0189143603833222E-4</v>
      </c>
      <c r="V199" s="23">
        <f>+claims!D199</f>
        <v>0</v>
      </c>
      <c r="W199" s="23">
        <f>+claims!E199</f>
        <v>3</v>
      </c>
      <c r="X199" s="23">
        <f>+claims!F199</f>
        <v>0</v>
      </c>
      <c r="Z199" s="6">
        <f t="shared" si="44"/>
        <v>0</v>
      </c>
      <c r="AA199" s="6">
        <f t="shared" si="45"/>
        <v>0.03</v>
      </c>
      <c r="AB199" s="6">
        <f t="shared" si="46"/>
        <v>0</v>
      </c>
      <c r="AD199" s="6">
        <f t="shared" si="48"/>
        <v>0.01</v>
      </c>
    </row>
    <row r="200" spans="1:30" outlineLevel="1">
      <c r="A200" t="s">
        <v>327</v>
      </c>
      <c r="B200" t="s">
        <v>328</v>
      </c>
      <c r="C200" s="40"/>
      <c r="D200" s="40" t="s">
        <v>328</v>
      </c>
      <c r="E200" s="40"/>
      <c r="F200" s="69">
        <v>5</v>
      </c>
      <c r="G200" s="40">
        <f t="shared" si="40"/>
        <v>5</v>
      </c>
      <c r="H200" s="40"/>
      <c r="I200" s="40" t="s">
        <v>328</v>
      </c>
      <c r="J200" s="40"/>
      <c r="K200" s="69">
        <v>8</v>
      </c>
      <c r="L200" s="40">
        <f t="shared" si="42"/>
        <v>8</v>
      </c>
      <c r="M200" s="40"/>
      <c r="N200" s="40" t="s">
        <v>328</v>
      </c>
      <c r="O200" s="40"/>
      <c r="P200" s="69">
        <v>7</v>
      </c>
      <c r="Q200" s="40">
        <f>AVERAGE(M200:P200)</f>
        <v>7</v>
      </c>
      <c r="R200" s="16">
        <f t="shared" si="43"/>
        <v>7</v>
      </c>
      <c r="T200" s="6">
        <f t="shared" si="49"/>
        <v>3.712866856108332E-5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44"/>
        <v>0</v>
      </c>
      <c r="AA200" s="6">
        <f t="shared" si="45"/>
        <v>0</v>
      </c>
      <c r="AB200" s="6">
        <f t="shared" si="46"/>
        <v>0</v>
      </c>
      <c r="AD200" s="6">
        <f t="shared" si="48"/>
        <v>0</v>
      </c>
    </row>
    <row r="201" spans="1:30" outlineLevel="1">
      <c r="A201" t="s">
        <v>329</v>
      </c>
      <c r="B201" t="s">
        <v>330</v>
      </c>
      <c r="C201" s="40"/>
      <c r="D201" s="40" t="s">
        <v>330</v>
      </c>
      <c r="E201" s="40"/>
      <c r="F201" s="69">
        <v>18</v>
      </c>
      <c r="G201" s="40">
        <f t="shared" si="40"/>
        <v>18</v>
      </c>
      <c r="H201" s="40"/>
      <c r="I201" s="40" t="s">
        <v>330</v>
      </c>
      <c r="J201" s="40"/>
      <c r="K201" s="69">
        <v>18</v>
      </c>
      <c r="L201" s="40">
        <f t="shared" si="42"/>
        <v>18</v>
      </c>
      <c r="M201" s="40"/>
      <c r="N201" s="40" t="s">
        <v>330</v>
      </c>
      <c r="O201" s="40"/>
      <c r="P201" s="69">
        <v>19</v>
      </c>
      <c r="Q201" s="40">
        <f t="shared" ref="Q201:Q234" si="50">AVERAGE(M201:P201)</f>
        <v>19</v>
      </c>
      <c r="R201" s="16">
        <f t="shared" si="43"/>
        <v>18.5</v>
      </c>
      <c r="T201" s="6">
        <f t="shared" si="49"/>
        <v>9.812576691143449E-5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 t="shared" si="44"/>
        <v>0</v>
      </c>
      <c r="AA201" s="6">
        <f t="shared" si="45"/>
        <v>0</v>
      </c>
      <c r="AB201" s="6">
        <f t="shared" si="46"/>
        <v>0</v>
      </c>
      <c r="AD201" s="6">
        <f t="shared" si="48"/>
        <v>0</v>
      </c>
    </row>
    <row r="202" spans="1:30" outlineLevel="1">
      <c r="A202" t="s">
        <v>505</v>
      </c>
      <c r="B202" t="s">
        <v>503</v>
      </c>
      <c r="C202" s="40"/>
      <c r="D202" s="40" t="s">
        <v>503</v>
      </c>
      <c r="E202" s="40"/>
      <c r="F202" s="69">
        <v>5</v>
      </c>
      <c r="G202" s="40">
        <f t="shared" si="40"/>
        <v>5</v>
      </c>
      <c r="H202" s="40"/>
      <c r="I202" s="40" t="s">
        <v>503</v>
      </c>
      <c r="J202" s="40"/>
      <c r="K202" s="69">
        <v>5</v>
      </c>
      <c r="L202" s="40">
        <f>AVERAGE(H202:K202)</f>
        <v>5</v>
      </c>
      <c r="M202" s="40"/>
      <c r="N202" s="40" t="s">
        <v>503</v>
      </c>
      <c r="O202" s="40"/>
      <c r="P202" s="69">
        <v>5</v>
      </c>
      <c r="Q202" s="40">
        <f>AVERAGE(M202:P202)</f>
        <v>5</v>
      </c>
      <c r="R202" s="16">
        <f>IF(G202&gt;0,(+G202+(L202*2)+(Q202*3))/6,IF(L202&gt;0,((L202*2)+(Q202*3))/5,Q202))</f>
        <v>5</v>
      </c>
      <c r="T202" s="6">
        <f t="shared" si="49"/>
        <v>2.6520477543630945E-5</v>
      </c>
      <c r="V202" s="23">
        <f>+claims!D202</f>
        <v>0</v>
      </c>
      <c r="W202" s="23">
        <f>+claims!E202</f>
        <v>0</v>
      </c>
      <c r="X202" s="23">
        <f>+claims!F202</f>
        <v>0</v>
      </c>
      <c r="Z202" s="6">
        <f>IF(G202&gt;100,IF(V202&lt;1,0,+V202/G202),IF(V202&lt;1,0,+V202/100))</f>
        <v>0</v>
      </c>
      <c r="AA202" s="6">
        <f>IF(L202&gt;100,IF(W202&lt;1,0,+W202/L202),IF(W202&lt;1,0,+W202/100))</f>
        <v>0</v>
      </c>
      <c r="AB202" s="6">
        <f>IF(Q202&gt;100,IF(X202&lt;1,0,+X202/Q202),IF(X202&lt;1,0,+X202/100))</f>
        <v>0</v>
      </c>
      <c r="AD202" s="6">
        <f t="shared" si="48"/>
        <v>0</v>
      </c>
    </row>
    <row r="203" spans="1:30" outlineLevel="1">
      <c r="A203" t="s">
        <v>331</v>
      </c>
      <c r="B203" t="s">
        <v>332</v>
      </c>
      <c r="C203" s="40"/>
      <c r="D203" s="40" t="s">
        <v>332</v>
      </c>
      <c r="E203" s="40"/>
      <c r="F203" s="69">
        <v>22</v>
      </c>
      <c r="G203" s="40">
        <f t="shared" si="40"/>
        <v>22</v>
      </c>
      <c r="H203" s="40"/>
      <c r="I203" s="40" t="s">
        <v>332</v>
      </c>
      <c r="J203" s="40"/>
      <c r="K203" s="69">
        <v>20</v>
      </c>
      <c r="L203" s="40">
        <f t="shared" ref="L203:L210" si="51">AVERAGE(H203:K203)</f>
        <v>20</v>
      </c>
      <c r="M203" s="40"/>
      <c r="N203" s="40" t="s">
        <v>332</v>
      </c>
      <c r="O203" s="40"/>
      <c r="P203" s="69">
        <v>17</v>
      </c>
      <c r="Q203" s="40">
        <f t="shared" si="50"/>
        <v>17</v>
      </c>
      <c r="R203" s="16">
        <f t="shared" si="43"/>
        <v>18.833333333333332</v>
      </c>
      <c r="T203" s="6">
        <f t="shared" si="49"/>
        <v>9.9893798747676549E-5</v>
      </c>
      <c r="V203" s="23">
        <f>+claims!D203</f>
        <v>0</v>
      </c>
      <c r="W203" s="23">
        <f>+claims!E203</f>
        <v>1</v>
      </c>
      <c r="X203" s="23">
        <f>+claims!F203</f>
        <v>0</v>
      </c>
      <c r="Z203" s="6">
        <f t="shared" si="44"/>
        <v>0</v>
      </c>
      <c r="AA203" s="6">
        <f t="shared" si="45"/>
        <v>0.01</v>
      </c>
      <c r="AB203" s="6">
        <f t="shared" si="46"/>
        <v>0</v>
      </c>
      <c r="AD203" s="6">
        <f t="shared" si="48"/>
        <v>3.3333333333333335E-3</v>
      </c>
    </row>
    <row r="204" spans="1:30" outlineLevel="1">
      <c r="A204" t="s">
        <v>333</v>
      </c>
      <c r="B204" t="s">
        <v>334</v>
      </c>
      <c r="C204" s="40"/>
      <c r="D204" s="40" t="s">
        <v>334</v>
      </c>
      <c r="E204" s="40"/>
      <c r="F204" s="69">
        <v>25</v>
      </c>
      <c r="G204" s="40">
        <f t="shared" si="40"/>
        <v>25</v>
      </c>
      <c r="H204" s="40"/>
      <c r="I204" s="40" t="s">
        <v>334</v>
      </c>
      <c r="J204" s="40"/>
      <c r="K204" s="69">
        <v>21</v>
      </c>
      <c r="L204" s="40">
        <f t="shared" si="51"/>
        <v>21</v>
      </c>
      <c r="M204" s="40"/>
      <c r="N204" s="40" t="s">
        <v>334</v>
      </c>
      <c r="O204" s="40"/>
      <c r="P204" s="69">
        <v>19.5</v>
      </c>
      <c r="Q204" s="40">
        <f t="shared" si="50"/>
        <v>19.5</v>
      </c>
      <c r="R204" s="16">
        <f t="shared" si="43"/>
        <v>20.916666666666668</v>
      </c>
      <c r="T204" s="6">
        <f t="shared" si="49"/>
        <v>1.1094399772418945E-4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6">
        <f t="shared" si="44"/>
        <v>0</v>
      </c>
      <c r="AA204" s="6">
        <f t="shared" si="45"/>
        <v>0</v>
      </c>
      <c r="AB204" s="6">
        <f t="shared" si="46"/>
        <v>0</v>
      </c>
      <c r="AD204" s="6">
        <f t="shared" si="48"/>
        <v>0</v>
      </c>
    </row>
    <row r="205" spans="1:30" outlineLevel="1">
      <c r="A205" t="s">
        <v>335</v>
      </c>
      <c r="B205" t="s">
        <v>336</v>
      </c>
      <c r="C205" s="40"/>
      <c r="D205" s="40" t="s">
        <v>336</v>
      </c>
      <c r="E205" s="40"/>
      <c r="F205" s="69">
        <v>13</v>
      </c>
      <c r="G205" s="40">
        <f t="shared" si="40"/>
        <v>13</v>
      </c>
      <c r="H205" s="40"/>
      <c r="I205" s="40" t="s">
        <v>336</v>
      </c>
      <c r="J205" s="40"/>
      <c r="K205" s="69">
        <v>12</v>
      </c>
      <c r="L205" s="40">
        <f t="shared" si="51"/>
        <v>12</v>
      </c>
      <c r="M205" s="40"/>
      <c r="N205" s="40" t="s">
        <v>336</v>
      </c>
      <c r="O205" s="40"/>
      <c r="P205" s="69">
        <v>11</v>
      </c>
      <c r="Q205" s="40">
        <f t="shared" si="50"/>
        <v>11</v>
      </c>
      <c r="R205" s="16">
        <f t="shared" si="43"/>
        <v>11.666666666666666</v>
      </c>
      <c r="T205" s="6">
        <f t="shared" si="49"/>
        <v>6.1881114268472193E-5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 t="shared" si="44"/>
        <v>0</v>
      </c>
      <c r="AA205" s="6">
        <f t="shared" si="45"/>
        <v>0</v>
      </c>
      <c r="AB205" s="6">
        <f t="shared" si="46"/>
        <v>0</v>
      </c>
      <c r="AD205" s="6">
        <f t="shared" si="48"/>
        <v>0</v>
      </c>
    </row>
    <row r="206" spans="1:30" outlineLevel="1">
      <c r="A206" t="s">
        <v>337</v>
      </c>
      <c r="B206" t="s">
        <v>338</v>
      </c>
      <c r="C206" s="40"/>
      <c r="D206" s="40" t="s">
        <v>338</v>
      </c>
      <c r="E206" s="40"/>
      <c r="F206" s="69">
        <v>3</v>
      </c>
      <c r="G206" s="40">
        <f t="shared" si="40"/>
        <v>3</v>
      </c>
      <c r="H206" s="40"/>
      <c r="I206" s="40" t="s">
        <v>338</v>
      </c>
      <c r="J206" s="40"/>
      <c r="K206" s="69">
        <v>4</v>
      </c>
      <c r="L206" s="40">
        <f t="shared" si="51"/>
        <v>4</v>
      </c>
      <c r="M206" s="40"/>
      <c r="N206" s="40" t="s">
        <v>338</v>
      </c>
      <c r="O206" s="40"/>
      <c r="P206" s="69">
        <v>2</v>
      </c>
      <c r="Q206" s="40">
        <f t="shared" si="50"/>
        <v>2</v>
      </c>
      <c r="R206" s="16">
        <f t="shared" si="43"/>
        <v>2.8333333333333335</v>
      </c>
      <c r="T206" s="6">
        <f t="shared" si="49"/>
        <v>1.5028270608057535E-5</v>
      </c>
      <c r="V206" s="23">
        <f>+claims!D206</f>
        <v>0</v>
      </c>
      <c r="W206" s="23">
        <f>+claims!E206</f>
        <v>0</v>
      </c>
      <c r="X206" s="23">
        <f>+claims!F206</f>
        <v>0</v>
      </c>
      <c r="Z206" s="6">
        <f t="shared" si="44"/>
        <v>0</v>
      </c>
      <c r="AA206" s="6">
        <f t="shared" si="45"/>
        <v>0</v>
      </c>
      <c r="AB206" s="6">
        <f t="shared" si="46"/>
        <v>0</v>
      </c>
      <c r="AD206" s="6">
        <f t="shared" si="48"/>
        <v>0</v>
      </c>
    </row>
    <row r="207" spans="1:30" outlineLevel="1">
      <c r="A207" t="s">
        <v>339</v>
      </c>
      <c r="B207" t="s">
        <v>340</v>
      </c>
      <c r="C207" s="40"/>
      <c r="D207" s="40" t="s">
        <v>340</v>
      </c>
      <c r="E207" s="40"/>
      <c r="F207" s="69">
        <v>52</v>
      </c>
      <c r="G207" s="40">
        <f t="shared" ref="G207:G212" si="52">AVERAGE(C207:F207)</f>
        <v>52</v>
      </c>
      <c r="H207" s="40"/>
      <c r="I207" s="40" t="s">
        <v>340</v>
      </c>
      <c r="J207" s="40"/>
      <c r="K207" s="69">
        <v>51.5</v>
      </c>
      <c r="L207" s="40">
        <f t="shared" si="51"/>
        <v>51.5</v>
      </c>
      <c r="M207" s="40"/>
      <c r="N207" s="40" t="s">
        <v>340</v>
      </c>
      <c r="O207" s="40"/>
      <c r="P207" s="69">
        <v>51</v>
      </c>
      <c r="Q207" s="40">
        <f t="shared" si="50"/>
        <v>51</v>
      </c>
      <c r="R207" s="16">
        <f t="shared" si="43"/>
        <v>51.333333333333336</v>
      </c>
      <c r="T207" s="6">
        <f t="shared" si="49"/>
        <v>2.7227690278127769E-4</v>
      </c>
      <c r="V207" s="23">
        <f>+claims!D207</f>
        <v>1</v>
      </c>
      <c r="W207" s="23">
        <f>+claims!E207</f>
        <v>1</v>
      </c>
      <c r="X207" s="23">
        <f>+claims!F207</f>
        <v>0</v>
      </c>
      <c r="Z207" s="6">
        <f t="shared" si="44"/>
        <v>0.01</v>
      </c>
      <c r="AA207" s="6">
        <f t="shared" si="45"/>
        <v>0.01</v>
      </c>
      <c r="AB207" s="6">
        <f t="shared" si="46"/>
        <v>0</v>
      </c>
      <c r="AD207" s="6">
        <f t="shared" si="48"/>
        <v>5.0000000000000001E-3</v>
      </c>
    </row>
    <row r="208" spans="1:30" outlineLevel="1">
      <c r="A208" t="s">
        <v>341</v>
      </c>
      <c r="B208" t="s">
        <v>342</v>
      </c>
      <c r="C208" s="40"/>
      <c r="D208" s="40" t="s">
        <v>342</v>
      </c>
      <c r="E208" s="40"/>
      <c r="F208" s="69">
        <v>32</v>
      </c>
      <c r="G208" s="40">
        <f t="shared" si="52"/>
        <v>32</v>
      </c>
      <c r="H208" s="40"/>
      <c r="I208" s="40" t="s">
        <v>342</v>
      </c>
      <c r="J208" s="40"/>
      <c r="K208" s="69">
        <v>35</v>
      </c>
      <c r="L208" s="40">
        <f t="shared" si="51"/>
        <v>35</v>
      </c>
      <c r="M208" s="40"/>
      <c r="N208" s="40" t="s">
        <v>342</v>
      </c>
      <c r="O208" s="40"/>
      <c r="P208" s="69">
        <v>32</v>
      </c>
      <c r="Q208" s="40">
        <f t="shared" si="50"/>
        <v>32</v>
      </c>
      <c r="R208" s="16">
        <f t="shared" si="43"/>
        <v>33</v>
      </c>
      <c r="T208" s="6">
        <f t="shared" si="49"/>
        <v>1.7503515178796423E-4</v>
      </c>
      <c r="V208" s="23">
        <f>+claims!D208</f>
        <v>0</v>
      </c>
      <c r="W208" s="23">
        <f>+claims!E208</f>
        <v>0</v>
      </c>
      <c r="X208" s="23">
        <f>+claims!F208</f>
        <v>0</v>
      </c>
      <c r="Z208" s="6">
        <f t="shared" si="44"/>
        <v>0</v>
      </c>
      <c r="AA208" s="6">
        <f t="shared" si="45"/>
        <v>0</v>
      </c>
      <c r="AB208" s="6">
        <f t="shared" si="46"/>
        <v>0</v>
      </c>
      <c r="AD208" s="6">
        <f t="shared" si="48"/>
        <v>0</v>
      </c>
    </row>
    <row r="209" spans="1:30" outlineLevel="1">
      <c r="A209" t="s">
        <v>343</v>
      </c>
      <c r="B209" t="s">
        <v>344</v>
      </c>
      <c r="C209" s="40"/>
      <c r="D209" s="40" t="s">
        <v>344</v>
      </c>
      <c r="E209" s="40"/>
      <c r="F209" s="69">
        <v>10.5</v>
      </c>
      <c r="G209" s="40">
        <f t="shared" si="52"/>
        <v>10.5</v>
      </c>
      <c r="H209" s="40"/>
      <c r="I209" s="40" t="s">
        <v>344</v>
      </c>
      <c r="J209" s="40"/>
      <c r="K209" s="69">
        <v>9.5</v>
      </c>
      <c r="L209" s="40">
        <f t="shared" si="51"/>
        <v>9.5</v>
      </c>
      <c r="M209" s="40"/>
      <c r="N209" s="40" t="s">
        <v>344</v>
      </c>
      <c r="O209" s="40"/>
      <c r="P209" s="69">
        <v>10.5</v>
      </c>
      <c r="Q209" s="40">
        <f t="shared" si="50"/>
        <v>10.5</v>
      </c>
      <c r="R209" s="16">
        <f t="shared" si="43"/>
        <v>10.166666666666666</v>
      </c>
      <c r="T209" s="6">
        <f t="shared" si="49"/>
        <v>5.3924971005382912E-5</v>
      </c>
      <c r="V209" s="23">
        <f>+claims!D209</f>
        <v>0</v>
      </c>
      <c r="W209" s="23">
        <f>+claims!E209</f>
        <v>1</v>
      </c>
      <c r="X209" s="23">
        <f>+claims!F209</f>
        <v>1</v>
      </c>
      <c r="Z209" s="6">
        <f t="shared" si="44"/>
        <v>0</v>
      </c>
      <c r="AA209" s="6">
        <f t="shared" si="45"/>
        <v>0.01</v>
      </c>
      <c r="AB209" s="6">
        <f t="shared" si="46"/>
        <v>0.01</v>
      </c>
      <c r="AD209" s="6">
        <f t="shared" si="48"/>
        <v>8.3333333333333332E-3</v>
      </c>
    </row>
    <row r="210" spans="1:30" outlineLevel="1">
      <c r="A210" t="s">
        <v>345</v>
      </c>
      <c r="B210" t="s">
        <v>346</v>
      </c>
      <c r="C210" s="40"/>
      <c r="D210" s="40" t="s">
        <v>346</v>
      </c>
      <c r="E210" s="40"/>
      <c r="F210" s="69">
        <v>159.5</v>
      </c>
      <c r="G210" s="40">
        <f t="shared" si="52"/>
        <v>159.5</v>
      </c>
      <c r="H210" s="40"/>
      <c r="I210" s="40" t="s">
        <v>346</v>
      </c>
      <c r="J210" s="40"/>
      <c r="K210" s="69">
        <v>151</v>
      </c>
      <c r="L210" s="40">
        <f t="shared" si="51"/>
        <v>151</v>
      </c>
      <c r="M210" s="40"/>
      <c r="N210" s="40" t="s">
        <v>346</v>
      </c>
      <c r="O210" s="40"/>
      <c r="P210" s="69">
        <v>152</v>
      </c>
      <c r="Q210" s="40">
        <f t="shared" si="50"/>
        <v>152</v>
      </c>
      <c r="R210" s="16">
        <f t="shared" si="43"/>
        <v>152.91666666666666</v>
      </c>
      <c r="T210" s="6">
        <f t="shared" si="49"/>
        <v>8.1108460487604628E-4</v>
      </c>
      <c r="V210" s="23">
        <f>+claims!D210</f>
        <v>3</v>
      </c>
      <c r="W210" s="23">
        <f>+claims!E210</f>
        <v>7</v>
      </c>
      <c r="X210" s="23">
        <f>+claims!F210</f>
        <v>1</v>
      </c>
      <c r="Z210" s="6">
        <f t="shared" si="44"/>
        <v>1.8808777429467086E-2</v>
      </c>
      <c r="AA210" s="6">
        <f t="shared" si="45"/>
        <v>4.6357615894039736E-2</v>
      </c>
      <c r="AB210" s="6">
        <f t="shared" si="46"/>
        <v>6.5789473684210523E-3</v>
      </c>
      <c r="AD210" s="6">
        <f t="shared" si="48"/>
        <v>2.1876808553801617E-2</v>
      </c>
    </row>
    <row r="211" spans="1:30" outlineLevel="1">
      <c r="A211" t="s">
        <v>486</v>
      </c>
      <c r="B211" t="s">
        <v>350</v>
      </c>
      <c r="C211" s="40"/>
      <c r="D211" s="40" t="s">
        <v>350</v>
      </c>
      <c r="E211" s="40"/>
      <c r="F211" s="69">
        <v>22</v>
      </c>
      <c r="G211" s="40">
        <f t="shared" si="52"/>
        <v>22</v>
      </c>
      <c r="H211" s="40"/>
      <c r="I211" s="40" t="s">
        <v>350</v>
      </c>
      <c r="J211" s="40"/>
      <c r="K211" s="69">
        <v>21</v>
      </c>
      <c r="L211" s="40">
        <f>AVERAGE(H211:K211)</f>
        <v>21</v>
      </c>
      <c r="M211" s="40"/>
      <c r="N211" s="40" t="s">
        <v>350</v>
      </c>
      <c r="O211" s="40"/>
      <c r="P211" s="69">
        <v>19</v>
      </c>
      <c r="Q211" s="40">
        <f>AVERAGE(M211:P211)</f>
        <v>19</v>
      </c>
      <c r="R211" s="16">
        <f>IF(G211&gt;0,(+G211+(L211*2)+(Q211*3))/6,IF(L211&gt;0,((L211*2)+(Q211*3))/5,Q211))</f>
        <v>20.166666666666668</v>
      </c>
      <c r="T211" s="6">
        <f t="shared" si="49"/>
        <v>1.0696592609264481E-4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6">
        <f>IF(G211&gt;100,IF(V211&lt;1,0,+V211/G211),IF(V211&lt;1,0,+V211/100))</f>
        <v>0</v>
      </c>
      <c r="AA211" s="6">
        <f>IF(L211&gt;100,IF(W211&lt;1,0,+W211/L211),IF(W211&lt;1,0,+W211/100))</f>
        <v>0</v>
      </c>
      <c r="AB211" s="6">
        <f>IF(Q211&gt;100,IF(X211&lt;1,0,+X211/Q211),IF(X211&lt;1,0,+X211/100))</f>
        <v>0</v>
      </c>
      <c r="AD211" s="6">
        <f t="shared" si="48"/>
        <v>0</v>
      </c>
    </row>
    <row r="212" spans="1:30" outlineLevel="1">
      <c r="A212" t="s">
        <v>487</v>
      </c>
      <c r="B212" t="s">
        <v>351</v>
      </c>
      <c r="C212" s="40"/>
      <c r="D212" s="40" t="s">
        <v>351</v>
      </c>
      <c r="E212" s="40"/>
      <c r="F212" s="69">
        <v>10</v>
      </c>
      <c r="G212" s="40">
        <f t="shared" si="52"/>
        <v>10</v>
      </c>
      <c r="H212" s="40"/>
      <c r="I212" s="40" t="s">
        <v>351</v>
      </c>
      <c r="J212" s="40"/>
      <c r="K212" s="69">
        <v>10</v>
      </c>
      <c r="L212" s="40">
        <f>AVERAGE(H212:K212)</f>
        <v>10</v>
      </c>
      <c r="M212" s="40"/>
      <c r="N212" s="40" t="s">
        <v>351</v>
      </c>
      <c r="O212" s="40"/>
      <c r="P212" s="69">
        <v>10</v>
      </c>
      <c r="Q212" s="40">
        <f>AVERAGE(M212:P212)</f>
        <v>10</v>
      </c>
      <c r="R212" s="16">
        <f>IF(G212&gt;0,(+G212+(L212*2)+(Q212*3))/6,IF(L212&gt;0,((L212*2)+(Q212*3))/5,Q212))</f>
        <v>10</v>
      </c>
      <c r="T212" s="6">
        <f t="shared" si="49"/>
        <v>5.3040955087261889E-5</v>
      </c>
      <c r="V212" s="23">
        <f>+claims!D212</f>
        <v>0</v>
      </c>
      <c r="W212" s="23">
        <f>+claims!E212</f>
        <v>0</v>
      </c>
      <c r="X212" s="23">
        <f>+claims!F212</f>
        <v>0</v>
      </c>
      <c r="Z212" s="6">
        <f>IF(G212&gt;100,IF(V212&lt;1,0,+V212/G212),IF(V212&lt;1,0,+V212/100))</f>
        <v>0</v>
      </c>
      <c r="AA212" s="6">
        <f>IF(L212&gt;100,IF(W212&lt;1,0,+W212/L212),IF(W212&lt;1,0,+W212/100))</f>
        <v>0</v>
      </c>
      <c r="AB212" s="6">
        <f>IF(Q212&gt;100,IF(X212&lt;1,0,+X212/Q212),IF(X212&lt;1,0,+X212/100))</f>
        <v>0</v>
      </c>
      <c r="AD212" s="6">
        <f t="shared" si="48"/>
        <v>0</v>
      </c>
    </row>
    <row r="213" spans="1:30" outlineLevel="1">
      <c r="A213" t="s">
        <v>488</v>
      </c>
      <c r="B213" t="s">
        <v>347</v>
      </c>
      <c r="C213" s="40"/>
      <c r="D213" s="40" t="s">
        <v>347</v>
      </c>
      <c r="E213" s="40"/>
      <c r="F213" s="69">
        <v>6</v>
      </c>
      <c r="G213" s="40">
        <f t="shared" ref="G213:G228" si="53">AVERAGE(C213:F213)</f>
        <v>6</v>
      </c>
      <c r="H213" s="40"/>
      <c r="I213" s="40" t="s">
        <v>347</v>
      </c>
      <c r="J213" s="40"/>
      <c r="K213" s="69">
        <v>5</v>
      </c>
      <c r="L213" s="40">
        <f t="shared" ref="L213:L228" si="54">AVERAGE(H213:K213)</f>
        <v>5</v>
      </c>
      <c r="M213" s="40"/>
      <c r="N213" s="40" t="s">
        <v>347</v>
      </c>
      <c r="O213" s="40"/>
      <c r="P213" s="69">
        <v>5</v>
      </c>
      <c r="Q213" s="40">
        <f t="shared" si="50"/>
        <v>5</v>
      </c>
      <c r="R213" s="16">
        <f t="shared" si="43"/>
        <v>5.166666666666667</v>
      </c>
      <c r="T213" s="6">
        <f t="shared" si="49"/>
        <v>2.7404493461751977E-5</v>
      </c>
      <c r="V213" s="23">
        <f>+claims!D213</f>
        <v>0</v>
      </c>
      <c r="W213" s="23">
        <f>+claims!E213</f>
        <v>0</v>
      </c>
      <c r="X213" s="23">
        <f>+claims!F213</f>
        <v>0</v>
      </c>
      <c r="Z213" s="6">
        <f t="shared" si="44"/>
        <v>0</v>
      </c>
      <c r="AA213" s="6">
        <f t="shared" si="45"/>
        <v>0</v>
      </c>
      <c r="AB213" s="6">
        <f t="shared" si="46"/>
        <v>0</v>
      </c>
      <c r="AD213" s="6">
        <f t="shared" si="48"/>
        <v>0</v>
      </c>
    </row>
    <row r="214" spans="1:30" outlineLevel="1">
      <c r="A214" t="s">
        <v>349</v>
      </c>
      <c r="B214" t="s">
        <v>348</v>
      </c>
      <c r="C214" s="40"/>
      <c r="D214" s="40" t="s">
        <v>348</v>
      </c>
      <c r="E214" s="40"/>
      <c r="F214" s="69">
        <v>63</v>
      </c>
      <c r="G214" s="40">
        <f t="shared" si="53"/>
        <v>63</v>
      </c>
      <c r="H214" s="40"/>
      <c r="I214" s="40" t="s">
        <v>348</v>
      </c>
      <c r="J214" s="40"/>
      <c r="K214" s="69">
        <v>63.5</v>
      </c>
      <c r="L214" s="40">
        <f t="shared" si="54"/>
        <v>63.5</v>
      </c>
      <c r="M214" s="40"/>
      <c r="N214" s="40" t="s">
        <v>348</v>
      </c>
      <c r="O214" s="40"/>
      <c r="P214" s="69">
        <v>67</v>
      </c>
      <c r="Q214" s="40">
        <f t="shared" si="50"/>
        <v>67</v>
      </c>
      <c r="R214" s="16">
        <f t="shared" si="43"/>
        <v>65.166666666666671</v>
      </c>
      <c r="T214" s="6">
        <f t="shared" si="49"/>
        <v>3.4565022398532332E-4</v>
      </c>
      <c r="V214" s="23">
        <f>+claims!D214</f>
        <v>0</v>
      </c>
      <c r="W214" s="23">
        <f>+claims!E214</f>
        <v>0</v>
      </c>
      <c r="X214" s="23">
        <f>+claims!F214</f>
        <v>3</v>
      </c>
      <c r="Z214" s="6">
        <f t="shared" si="44"/>
        <v>0</v>
      </c>
      <c r="AA214" s="6">
        <f t="shared" si="45"/>
        <v>0</v>
      </c>
      <c r="AB214" s="6">
        <f t="shared" si="46"/>
        <v>0.03</v>
      </c>
      <c r="AD214" s="6">
        <f t="shared" si="48"/>
        <v>1.4999999999999999E-2</v>
      </c>
    </row>
    <row r="215" spans="1:30" outlineLevel="1">
      <c r="A215" t="s">
        <v>352</v>
      </c>
      <c r="B215" t="s">
        <v>353</v>
      </c>
      <c r="C215" s="40"/>
      <c r="D215" s="40" t="s">
        <v>353</v>
      </c>
      <c r="E215" s="40"/>
      <c r="F215" s="69">
        <v>36</v>
      </c>
      <c r="G215" s="40">
        <f t="shared" si="53"/>
        <v>36</v>
      </c>
      <c r="H215" s="40"/>
      <c r="I215" s="40" t="s">
        <v>353</v>
      </c>
      <c r="J215" s="40"/>
      <c r="K215" s="69">
        <v>37</v>
      </c>
      <c r="L215" s="40">
        <f t="shared" si="54"/>
        <v>37</v>
      </c>
      <c r="M215" s="40"/>
      <c r="N215" s="40" t="s">
        <v>353</v>
      </c>
      <c r="O215" s="40"/>
      <c r="P215" s="69">
        <v>42</v>
      </c>
      <c r="Q215" s="40">
        <f t="shared" si="50"/>
        <v>42</v>
      </c>
      <c r="R215" s="16">
        <f t="shared" si="43"/>
        <v>39.333333333333336</v>
      </c>
      <c r="T215" s="6">
        <f t="shared" si="49"/>
        <v>2.0862775667656344E-4</v>
      </c>
      <c r="V215" s="23">
        <f>+claims!D215</f>
        <v>0</v>
      </c>
      <c r="W215" s="23">
        <f>+claims!E215</f>
        <v>0</v>
      </c>
      <c r="X215" s="23">
        <f>+claims!F215</f>
        <v>2</v>
      </c>
      <c r="Z215" s="6">
        <f t="shared" si="44"/>
        <v>0</v>
      </c>
      <c r="AA215" s="6">
        <f t="shared" si="45"/>
        <v>0</v>
      </c>
      <c r="AB215" s="6">
        <f t="shared" si="46"/>
        <v>0.02</v>
      </c>
      <c r="AD215" s="6">
        <f t="shared" si="48"/>
        <v>0.01</v>
      </c>
    </row>
    <row r="216" spans="1:30" outlineLevel="1">
      <c r="A216" t="s">
        <v>354</v>
      </c>
      <c r="B216" t="s">
        <v>355</v>
      </c>
      <c r="C216" s="40"/>
      <c r="D216" s="40" t="s">
        <v>355</v>
      </c>
      <c r="E216" s="40"/>
      <c r="F216" s="69">
        <v>7</v>
      </c>
      <c r="G216" s="40">
        <f t="shared" si="53"/>
        <v>7</v>
      </c>
      <c r="H216" s="40"/>
      <c r="I216" s="40" t="s">
        <v>355</v>
      </c>
      <c r="J216" s="40"/>
      <c r="K216" s="69">
        <v>7</v>
      </c>
      <c r="L216" s="40">
        <f t="shared" si="54"/>
        <v>7</v>
      </c>
      <c r="M216" s="40"/>
      <c r="N216" s="40" t="s">
        <v>355</v>
      </c>
      <c r="O216" s="40"/>
      <c r="P216" s="69">
        <v>6</v>
      </c>
      <c r="Q216" s="40">
        <f t="shared" si="50"/>
        <v>6</v>
      </c>
      <c r="R216" s="16">
        <f t="shared" si="43"/>
        <v>6.5</v>
      </c>
      <c r="T216" s="6">
        <f t="shared" si="49"/>
        <v>3.4476620806720226E-5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44"/>
        <v>0</v>
      </c>
      <c r="AA216" s="6">
        <f t="shared" si="45"/>
        <v>0</v>
      </c>
      <c r="AB216" s="6">
        <f t="shared" si="46"/>
        <v>0</v>
      </c>
      <c r="AD216" s="6">
        <f t="shared" si="48"/>
        <v>0</v>
      </c>
    </row>
    <row r="217" spans="1:30" outlineLevel="1">
      <c r="A217" t="s">
        <v>356</v>
      </c>
      <c r="B217" t="s">
        <v>357</v>
      </c>
      <c r="C217" s="40"/>
      <c r="D217" s="40" t="s">
        <v>357</v>
      </c>
      <c r="E217" s="40"/>
      <c r="F217" s="69">
        <v>7</v>
      </c>
      <c r="G217" s="40">
        <f t="shared" si="53"/>
        <v>7</v>
      </c>
      <c r="H217" s="40"/>
      <c r="I217" s="40" t="s">
        <v>357</v>
      </c>
      <c r="J217" s="40"/>
      <c r="K217" s="69">
        <v>7</v>
      </c>
      <c r="L217" s="40">
        <f t="shared" si="54"/>
        <v>7</v>
      </c>
      <c r="M217" s="40"/>
      <c r="N217" s="40" t="s">
        <v>357</v>
      </c>
      <c r="O217" s="40"/>
      <c r="P217" s="69">
        <v>8</v>
      </c>
      <c r="Q217" s="40">
        <f t="shared" si="50"/>
        <v>8</v>
      </c>
      <c r="R217" s="16">
        <f t="shared" si="43"/>
        <v>7.5</v>
      </c>
      <c r="T217" s="6">
        <f t="shared" si="49"/>
        <v>3.9780716315446414E-5</v>
      </c>
      <c r="V217" s="23">
        <f>+claims!D217</f>
        <v>0</v>
      </c>
      <c r="W217" s="23">
        <f>+claims!E217</f>
        <v>0</v>
      </c>
      <c r="X217" s="23">
        <f>+claims!F217</f>
        <v>0</v>
      </c>
      <c r="Z217" s="6">
        <f t="shared" si="44"/>
        <v>0</v>
      </c>
      <c r="AA217" s="6">
        <f t="shared" si="45"/>
        <v>0</v>
      </c>
      <c r="AB217" s="6">
        <f t="shared" si="46"/>
        <v>0</v>
      </c>
      <c r="AD217" s="6">
        <f t="shared" si="48"/>
        <v>0</v>
      </c>
    </row>
    <row r="218" spans="1:30" outlineLevel="1">
      <c r="A218" t="s">
        <v>358</v>
      </c>
      <c r="B218" t="s">
        <v>359</v>
      </c>
      <c r="C218" s="40"/>
      <c r="D218" s="40" t="s">
        <v>359</v>
      </c>
      <c r="E218" s="40"/>
      <c r="F218" s="69">
        <v>59</v>
      </c>
      <c r="G218" s="40">
        <f t="shared" si="53"/>
        <v>59</v>
      </c>
      <c r="H218" s="40"/>
      <c r="I218" s="40" t="s">
        <v>359</v>
      </c>
      <c r="J218" s="40"/>
      <c r="K218" s="69">
        <v>59.5</v>
      </c>
      <c r="L218" s="40">
        <f t="shared" si="54"/>
        <v>59.5</v>
      </c>
      <c r="M218" s="40"/>
      <c r="N218" s="40" t="s">
        <v>359</v>
      </c>
      <c r="O218" s="40"/>
      <c r="P218" s="69">
        <v>62.5</v>
      </c>
      <c r="Q218" s="40">
        <f t="shared" si="50"/>
        <v>62.5</v>
      </c>
      <c r="R218" s="16">
        <f t="shared" si="43"/>
        <v>60.916666666666664</v>
      </c>
      <c r="T218" s="6">
        <f t="shared" si="49"/>
        <v>3.2310781807323697E-4</v>
      </c>
      <c r="V218" s="23">
        <f>+claims!D218</f>
        <v>0</v>
      </c>
      <c r="W218" s="23">
        <f>+claims!E218</f>
        <v>2</v>
      </c>
      <c r="X218" s="23">
        <f>+claims!F218</f>
        <v>0</v>
      </c>
      <c r="Z218" s="6">
        <f t="shared" si="44"/>
        <v>0</v>
      </c>
      <c r="AA218" s="6">
        <f t="shared" si="45"/>
        <v>0.02</v>
      </c>
      <c r="AB218" s="6">
        <f t="shared" si="46"/>
        <v>0</v>
      </c>
      <c r="AD218" s="6">
        <f t="shared" si="48"/>
        <v>6.6666666666666671E-3</v>
      </c>
    </row>
    <row r="219" spans="1:30" outlineLevel="1">
      <c r="A219" t="s">
        <v>360</v>
      </c>
      <c r="B219" t="s">
        <v>361</v>
      </c>
      <c r="C219" s="40"/>
      <c r="D219" s="40" t="s">
        <v>361</v>
      </c>
      <c r="E219" s="40"/>
      <c r="F219" s="69">
        <v>8</v>
      </c>
      <c r="G219" s="40">
        <f t="shared" si="53"/>
        <v>8</v>
      </c>
      <c r="H219" s="40"/>
      <c r="I219" s="40" t="s">
        <v>361</v>
      </c>
      <c r="J219" s="40"/>
      <c r="K219" s="69">
        <v>8</v>
      </c>
      <c r="L219" s="40">
        <f t="shared" si="54"/>
        <v>8</v>
      </c>
      <c r="M219" s="40"/>
      <c r="N219" s="40" t="s">
        <v>361</v>
      </c>
      <c r="O219" s="40"/>
      <c r="P219" s="69">
        <v>8</v>
      </c>
      <c r="Q219" s="40">
        <f t="shared" si="50"/>
        <v>8</v>
      </c>
      <c r="R219" s="16">
        <f t="shared" si="43"/>
        <v>8</v>
      </c>
      <c r="T219" s="6">
        <f t="shared" si="49"/>
        <v>4.2432764069809507E-5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44"/>
        <v>0</v>
      </c>
      <c r="AA219" s="6">
        <f t="shared" si="45"/>
        <v>0</v>
      </c>
      <c r="AB219" s="6">
        <f t="shared" si="46"/>
        <v>0</v>
      </c>
      <c r="AD219" s="6">
        <f t="shared" si="48"/>
        <v>0</v>
      </c>
    </row>
    <row r="220" spans="1:30" outlineLevel="1">
      <c r="A220" t="s">
        <v>362</v>
      </c>
      <c r="B220" t="s">
        <v>363</v>
      </c>
      <c r="C220" s="40"/>
      <c r="D220" s="40" t="s">
        <v>363</v>
      </c>
      <c r="E220" s="40"/>
      <c r="F220" s="69">
        <v>16.5</v>
      </c>
      <c r="G220" s="40">
        <f t="shared" si="53"/>
        <v>16.5</v>
      </c>
      <c r="H220" s="40"/>
      <c r="I220" s="40" t="s">
        <v>363</v>
      </c>
      <c r="J220" s="40"/>
      <c r="K220" s="69">
        <v>16.5</v>
      </c>
      <c r="L220" s="40">
        <f t="shared" si="54"/>
        <v>16.5</v>
      </c>
      <c r="M220" s="40"/>
      <c r="N220" s="40" t="s">
        <v>363</v>
      </c>
      <c r="O220" s="40"/>
      <c r="P220" s="69">
        <v>17</v>
      </c>
      <c r="Q220" s="40">
        <f t="shared" si="50"/>
        <v>17</v>
      </c>
      <c r="R220" s="16">
        <f t="shared" si="43"/>
        <v>16.75</v>
      </c>
      <c r="T220" s="6">
        <f t="shared" si="49"/>
        <v>8.8843599771163659E-5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44"/>
        <v>0</v>
      </c>
      <c r="AA220" s="6">
        <f t="shared" si="45"/>
        <v>0</v>
      </c>
      <c r="AB220" s="6">
        <f t="shared" si="46"/>
        <v>0</v>
      </c>
      <c r="AD220" s="6">
        <f t="shared" si="48"/>
        <v>0</v>
      </c>
    </row>
    <row r="221" spans="1:30" outlineLevel="1">
      <c r="A221" t="s">
        <v>364</v>
      </c>
      <c r="B221" t="s">
        <v>365</v>
      </c>
      <c r="C221" s="40"/>
      <c r="D221" s="40" t="s">
        <v>365</v>
      </c>
      <c r="E221" s="40"/>
      <c r="F221" s="69">
        <v>22.5</v>
      </c>
      <c r="G221" s="40">
        <f t="shared" si="53"/>
        <v>22.5</v>
      </c>
      <c r="H221" s="40"/>
      <c r="I221" s="40" t="s">
        <v>365</v>
      </c>
      <c r="J221" s="40"/>
      <c r="K221" s="69">
        <v>21.5</v>
      </c>
      <c r="L221" s="40">
        <f t="shared" si="54"/>
        <v>21.5</v>
      </c>
      <c r="M221" s="40"/>
      <c r="N221" s="40" t="s">
        <v>365</v>
      </c>
      <c r="O221" s="40"/>
      <c r="P221" s="69">
        <v>22.5</v>
      </c>
      <c r="Q221" s="40">
        <f t="shared" si="50"/>
        <v>22.5</v>
      </c>
      <c r="R221" s="16">
        <f t="shared" si="43"/>
        <v>22.166666666666668</v>
      </c>
      <c r="T221" s="6">
        <f t="shared" si="49"/>
        <v>1.1757411711009718E-4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6">
        <f t="shared" si="44"/>
        <v>0</v>
      </c>
      <c r="AA221" s="6">
        <f t="shared" si="45"/>
        <v>0</v>
      </c>
      <c r="AB221" s="6">
        <f t="shared" si="46"/>
        <v>0</v>
      </c>
      <c r="AD221" s="6">
        <f t="shared" si="48"/>
        <v>0</v>
      </c>
    </row>
    <row r="222" spans="1:30" outlineLevel="1">
      <c r="A222" t="s">
        <v>366</v>
      </c>
      <c r="B222" t="s">
        <v>367</v>
      </c>
      <c r="C222" s="40"/>
      <c r="D222" s="40" t="s">
        <v>367</v>
      </c>
      <c r="E222" s="40"/>
      <c r="F222" s="69">
        <v>17</v>
      </c>
      <c r="G222" s="40">
        <f t="shared" si="53"/>
        <v>17</v>
      </c>
      <c r="H222" s="40"/>
      <c r="I222" s="40" t="s">
        <v>367</v>
      </c>
      <c r="J222" s="40"/>
      <c r="K222" s="69">
        <v>17</v>
      </c>
      <c r="L222" s="40">
        <f t="shared" si="54"/>
        <v>17</v>
      </c>
      <c r="M222" s="40"/>
      <c r="N222" s="40" t="s">
        <v>367</v>
      </c>
      <c r="O222" s="40"/>
      <c r="P222" s="69">
        <v>16</v>
      </c>
      <c r="Q222" s="40">
        <f t="shared" si="50"/>
        <v>16</v>
      </c>
      <c r="R222" s="16">
        <f t="shared" si="43"/>
        <v>16.5</v>
      </c>
      <c r="T222" s="6">
        <f t="shared" si="49"/>
        <v>8.7517575893982115E-5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44"/>
        <v>0</v>
      </c>
      <c r="AA222" s="6">
        <f t="shared" si="45"/>
        <v>0</v>
      </c>
      <c r="AB222" s="6">
        <f t="shared" si="46"/>
        <v>0</v>
      </c>
      <c r="AD222" s="6">
        <f t="shared" si="48"/>
        <v>0</v>
      </c>
    </row>
    <row r="223" spans="1:30" outlineLevel="1">
      <c r="A223" t="s">
        <v>368</v>
      </c>
      <c r="B223" t="s">
        <v>369</v>
      </c>
      <c r="C223" s="40"/>
      <c r="D223" s="40" t="s">
        <v>369</v>
      </c>
      <c r="E223" s="40"/>
      <c r="F223" s="69">
        <v>9.5</v>
      </c>
      <c r="G223" s="40">
        <f t="shared" si="53"/>
        <v>9.5</v>
      </c>
      <c r="H223" s="40"/>
      <c r="I223" s="40" t="s">
        <v>369</v>
      </c>
      <c r="J223" s="40"/>
      <c r="K223" s="69">
        <v>9</v>
      </c>
      <c r="L223" s="40">
        <f t="shared" si="54"/>
        <v>9</v>
      </c>
      <c r="M223" s="40"/>
      <c r="N223" s="40" t="s">
        <v>369</v>
      </c>
      <c r="O223" s="40"/>
      <c r="P223" s="69">
        <v>8</v>
      </c>
      <c r="Q223" s="40">
        <f t="shared" si="50"/>
        <v>8</v>
      </c>
      <c r="R223" s="16">
        <f t="shared" si="43"/>
        <v>8.5833333333333339</v>
      </c>
      <c r="T223" s="6">
        <f t="shared" si="49"/>
        <v>4.5526819783233122E-5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44"/>
        <v>0</v>
      </c>
      <c r="AA223" s="6">
        <f t="shared" si="45"/>
        <v>0</v>
      </c>
      <c r="AB223" s="6">
        <f t="shared" si="46"/>
        <v>0</v>
      </c>
      <c r="AD223" s="6">
        <f t="shared" si="48"/>
        <v>0</v>
      </c>
    </row>
    <row r="224" spans="1:30" outlineLevel="1">
      <c r="A224" t="s">
        <v>370</v>
      </c>
      <c r="B224" t="s">
        <v>371</v>
      </c>
      <c r="C224" s="40"/>
      <c r="D224" s="40" t="s">
        <v>371</v>
      </c>
      <c r="E224" s="40"/>
      <c r="F224" s="69">
        <v>171</v>
      </c>
      <c r="G224" s="40">
        <f t="shared" si="53"/>
        <v>171</v>
      </c>
      <c r="H224" s="40"/>
      <c r="I224" s="40" t="s">
        <v>371</v>
      </c>
      <c r="J224" s="40"/>
      <c r="K224" s="69">
        <v>170</v>
      </c>
      <c r="L224" s="40">
        <f t="shared" si="54"/>
        <v>170</v>
      </c>
      <c r="M224" s="40"/>
      <c r="N224" s="40" t="s">
        <v>371</v>
      </c>
      <c r="O224" s="40"/>
      <c r="P224" s="69">
        <v>171</v>
      </c>
      <c r="Q224" s="40">
        <f t="shared" si="50"/>
        <v>171</v>
      </c>
      <c r="R224" s="16">
        <f t="shared" si="43"/>
        <v>170.66666666666666</v>
      </c>
      <c r="T224" s="6">
        <f t="shared" si="49"/>
        <v>9.0523230015593619E-4</v>
      </c>
      <c r="V224" s="23">
        <f>+claims!D224</f>
        <v>9</v>
      </c>
      <c r="W224" s="23">
        <f>+claims!E224</f>
        <v>4</v>
      </c>
      <c r="X224" s="23">
        <f>+claims!F224</f>
        <v>2</v>
      </c>
      <c r="Z224" s="6">
        <f t="shared" si="44"/>
        <v>5.2631578947368418E-2</v>
      </c>
      <c r="AA224" s="6">
        <f t="shared" si="45"/>
        <v>2.3529411764705882E-2</v>
      </c>
      <c r="AB224" s="6">
        <f t="shared" si="46"/>
        <v>1.1695906432748537E-2</v>
      </c>
      <c r="AD224" s="6">
        <f t="shared" si="48"/>
        <v>2.2463020295837632E-2</v>
      </c>
    </row>
    <row r="225" spans="1:30" outlineLevel="1">
      <c r="A225" t="s">
        <v>372</v>
      </c>
      <c r="B225" t="s">
        <v>373</v>
      </c>
      <c r="C225" s="40"/>
      <c r="D225" s="40" t="s">
        <v>373</v>
      </c>
      <c r="E225" s="40"/>
      <c r="F225" s="69">
        <v>23</v>
      </c>
      <c r="G225" s="40">
        <f t="shared" si="53"/>
        <v>23</v>
      </c>
      <c r="H225" s="40"/>
      <c r="I225" s="40" t="s">
        <v>373</v>
      </c>
      <c r="J225" s="40"/>
      <c r="K225" s="69">
        <v>22</v>
      </c>
      <c r="L225" s="40">
        <f t="shared" si="54"/>
        <v>22</v>
      </c>
      <c r="M225" s="40"/>
      <c r="N225" s="40" t="s">
        <v>373</v>
      </c>
      <c r="O225" s="40"/>
      <c r="P225" s="69">
        <v>21</v>
      </c>
      <c r="Q225" s="40">
        <f t="shared" si="50"/>
        <v>21</v>
      </c>
      <c r="R225" s="16">
        <f t="shared" si="43"/>
        <v>21.666666666666668</v>
      </c>
      <c r="T225" s="6">
        <f t="shared" si="49"/>
        <v>1.149220693557341E-4</v>
      </c>
      <c r="V225" s="23">
        <f>+claims!D225</f>
        <v>0</v>
      </c>
      <c r="W225" s="23">
        <f>+claims!E225</f>
        <v>1</v>
      </c>
      <c r="X225" s="23">
        <f>+claims!F225</f>
        <v>0</v>
      </c>
      <c r="Z225" s="6">
        <f t="shared" si="44"/>
        <v>0</v>
      </c>
      <c r="AA225" s="6">
        <f t="shared" si="45"/>
        <v>0.01</v>
      </c>
      <c r="AB225" s="6">
        <f t="shared" si="46"/>
        <v>0</v>
      </c>
      <c r="AD225" s="6">
        <f t="shared" si="48"/>
        <v>3.3333333333333335E-3</v>
      </c>
    </row>
    <row r="226" spans="1:30" outlineLevel="1">
      <c r="A226" t="s">
        <v>374</v>
      </c>
      <c r="B226" t="s">
        <v>375</v>
      </c>
      <c r="C226" s="40"/>
      <c r="D226" s="40" t="s">
        <v>375</v>
      </c>
      <c r="E226" s="40"/>
      <c r="F226" s="69">
        <v>9</v>
      </c>
      <c r="G226" s="40">
        <f t="shared" si="53"/>
        <v>9</v>
      </c>
      <c r="H226" s="40"/>
      <c r="I226" s="40" t="s">
        <v>375</v>
      </c>
      <c r="J226" s="40"/>
      <c r="K226" s="69">
        <v>9</v>
      </c>
      <c r="L226" s="40">
        <f t="shared" si="54"/>
        <v>9</v>
      </c>
      <c r="M226" s="40"/>
      <c r="N226" s="40" t="s">
        <v>375</v>
      </c>
      <c r="O226" s="40"/>
      <c r="P226" s="69">
        <v>9</v>
      </c>
      <c r="Q226" s="40">
        <f t="shared" si="50"/>
        <v>9</v>
      </c>
      <c r="R226" s="16">
        <f t="shared" ref="R226:R261" si="55">IF(G226&gt;0,(+G226+(L226*2)+(Q226*3))/6,IF(L226&gt;0,((L226*2)+(Q226*3))/5,Q226))</f>
        <v>9</v>
      </c>
      <c r="T226" s="6">
        <f t="shared" si="49"/>
        <v>4.7736859578535695E-5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44"/>
        <v>0</v>
      </c>
      <c r="AA226" s="6">
        <f t="shared" si="45"/>
        <v>0</v>
      </c>
      <c r="AB226" s="6">
        <f t="shared" si="46"/>
        <v>0</v>
      </c>
      <c r="AD226" s="6">
        <f t="shared" si="48"/>
        <v>0</v>
      </c>
    </row>
    <row r="227" spans="1:30" outlineLevel="1">
      <c r="A227" t="s">
        <v>376</v>
      </c>
      <c r="B227" t="s">
        <v>377</v>
      </c>
      <c r="C227" s="40"/>
      <c r="D227" s="40" t="s">
        <v>377</v>
      </c>
      <c r="E227" s="40"/>
      <c r="F227" s="69">
        <v>14.5</v>
      </c>
      <c r="G227" s="40">
        <f t="shared" si="53"/>
        <v>14.5</v>
      </c>
      <c r="H227" s="40"/>
      <c r="I227" s="40" t="s">
        <v>377</v>
      </c>
      <c r="J227" s="40"/>
      <c r="K227" s="69">
        <v>14.5</v>
      </c>
      <c r="L227" s="40">
        <f t="shared" si="54"/>
        <v>14.5</v>
      </c>
      <c r="M227" s="40"/>
      <c r="N227" s="40" t="s">
        <v>377</v>
      </c>
      <c r="O227" s="40"/>
      <c r="P227" s="69">
        <v>12</v>
      </c>
      <c r="Q227" s="40">
        <f t="shared" si="50"/>
        <v>12</v>
      </c>
      <c r="R227" s="16">
        <f t="shared" si="55"/>
        <v>13.25</v>
      </c>
      <c r="T227" s="6">
        <f t="shared" si="49"/>
        <v>7.0279265490621996E-5</v>
      </c>
      <c r="V227" s="23">
        <f>+claims!D227</f>
        <v>0</v>
      </c>
      <c r="W227" s="23">
        <f>+claims!E227</f>
        <v>0</v>
      </c>
      <c r="X227" s="23">
        <f>+claims!F227</f>
        <v>0</v>
      </c>
      <c r="Z227" s="6">
        <f t="shared" si="44"/>
        <v>0</v>
      </c>
      <c r="AA227" s="6">
        <f t="shared" si="45"/>
        <v>0</v>
      </c>
      <c r="AB227" s="6">
        <f t="shared" si="46"/>
        <v>0</v>
      </c>
      <c r="AD227" s="6">
        <f t="shared" si="48"/>
        <v>0</v>
      </c>
    </row>
    <row r="228" spans="1:30" outlineLevel="1">
      <c r="A228" t="s">
        <v>378</v>
      </c>
      <c r="B228" t="s">
        <v>379</v>
      </c>
      <c r="C228" s="40"/>
      <c r="D228" s="40" t="s">
        <v>379</v>
      </c>
      <c r="E228" s="40"/>
      <c r="F228" s="69">
        <v>32.5</v>
      </c>
      <c r="G228" s="40">
        <f t="shared" si="53"/>
        <v>32.5</v>
      </c>
      <c r="H228" s="40"/>
      <c r="I228" s="40" t="s">
        <v>379</v>
      </c>
      <c r="J228" s="40"/>
      <c r="K228" s="69">
        <v>34.5</v>
      </c>
      <c r="L228" s="40">
        <f t="shared" si="54"/>
        <v>34.5</v>
      </c>
      <c r="M228" s="40"/>
      <c r="N228" s="40" t="s">
        <v>379</v>
      </c>
      <c r="O228" s="40"/>
      <c r="P228" s="69">
        <v>31</v>
      </c>
      <c r="Q228" s="40">
        <f t="shared" si="50"/>
        <v>31</v>
      </c>
      <c r="R228" s="16">
        <f t="shared" si="55"/>
        <v>32.416666666666664</v>
      </c>
      <c r="T228" s="6">
        <f t="shared" si="49"/>
        <v>1.719410960745406E-4</v>
      </c>
      <c r="V228" s="23">
        <f>+claims!D228</f>
        <v>0</v>
      </c>
      <c r="W228" s="23">
        <f>+claims!E228</f>
        <v>0</v>
      </c>
      <c r="X228" s="23">
        <f>+claims!F228</f>
        <v>1</v>
      </c>
      <c r="Z228" s="6">
        <f t="shared" si="44"/>
        <v>0</v>
      </c>
      <c r="AA228" s="6">
        <f t="shared" si="45"/>
        <v>0</v>
      </c>
      <c r="AB228" s="6">
        <f t="shared" si="46"/>
        <v>0.01</v>
      </c>
      <c r="AD228" s="6">
        <f t="shared" si="48"/>
        <v>5.0000000000000001E-3</v>
      </c>
    </row>
    <row r="229" spans="1:30" outlineLevel="1">
      <c r="A229" t="s">
        <v>511</v>
      </c>
      <c r="B229" t="s">
        <v>512</v>
      </c>
      <c r="C229" s="40"/>
      <c r="D229" s="40" t="s">
        <v>512</v>
      </c>
      <c r="E229" s="40"/>
      <c r="F229" s="69">
        <v>5</v>
      </c>
      <c r="G229" s="40">
        <f>AVERAGE(C229:F229)</f>
        <v>5</v>
      </c>
      <c r="H229" s="40"/>
      <c r="I229" s="40" t="s">
        <v>512</v>
      </c>
      <c r="J229" s="40"/>
      <c r="K229" s="69">
        <v>5</v>
      </c>
      <c r="L229" s="40">
        <f>AVERAGE(H229:K229)</f>
        <v>5</v>
      </c>
      <c r="M229" s="40"/>
      <c r="N229" s="40" t="s">
        <v>512</v>
      </c>
      <c r="O229" s="40"/>
      <c r="P229" s="69">
        <v>5</v>
      </c>
      <c r="Q229" s="40">
        <f>AVERAGE(M229:P229)</f>
        <v>5</v>
      </c>
      <c r="R229" s="16">
        <f>IF(G229&gt;0,(+G229+(L229*2)+(Q229*3))/6,IF(L229&gt;0,((L229*2)+(Q229*3))/5,Q229))</f>
        <v>5</v>
      </c>
      <c r="T229" s="6">
        <f t="shared" si="49"/>
        <v>2.6520477543630945E-5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>IF(G229&gt;100,IF(V229&lt;1,0,+V229/G229),IF(V229&lt;1,0,+V229/100))</f>
        <v>0</v>
      </c>
      <c r="AA229" s="6">
        <f>IF(L229&gt;100,IF(W229&lt;1,0,+W229/L229),IF(W229&lt;1,0,+W229/100))</f>
        <v>0</v>
      </c>
      <c r="AB229" s="6">
        <f>IF(Q229&gt;100,IF(X229&lt;1,0,+X229/Q229),IF(X229&lt;1,0,+X229/100))</f>
        <v>0</v>
      </c>
      <c r="AD229" s="6">
        <f t="shared" si="48"/>
        <v>0</v>
      </c>
    </row>
    <row r="230" spans="1:30" outlineLevel="1">
      <c r="A230" t="s">
        <v>380</v>
      </c>
      <c r="B230" t="s">
        <v>381</v>
      </c>
      <c r="C230" s="40"/>
      <c r="D230" s="40" t="s">
        <v>381</v>
      </c>
      <c r="E230" s="40"/>
      <c r="F230" s="69">
        <v>23</v>
      </c>
      <c r="G230" s="40">
        <f t="shared" ref="G230:G261" si="56">AVERAGE(C230:F230)</f>
        <v>23</v>
      </c>
      <c r="H230" s="40"/>
      <c r="I230" s="40" t="s">
        <v>381</v>
      </c>
      <c r="J230" s="40"/>
      <c r="K230" s="69">
        <v>20.5</v>
      </c>
      <c r="L230" s="40">
        <f t="shared" ref="L230:L261" si="57">AVERAGE(H230:K230)</f>
        <v>20.5</v>
      </c>
      <c r="M230" s="40"/>
      <c r="N230" s="40" t="s">
        <v>381</v>
      </c>
      <c r="O230" s="40"/>
      <c r="P230" s="69">
        <v>24</v>
      </c>
      <c r="Q230" s="40">
        <f t="shared" si="50"/>
        <v>24</v>
      </c>
      <c r="R230" s="16">
        <f t="shared" si="55"/>
        <v>22.666666666666668</v>
      </c>
      <c r="T230" s="6">
        <f t="shared" si="49"/>
        <v>1.2022616486446028E-4</v>
      </c>
      <c r="V230" s="23">
        <f>+claims!D230</f>
        <v>1</v>
      </c>
      <c r="W230" s="23">
        <f>+claims!E230</f>
        <v>1</v>
      </c>
      <c r="X230" s="23">
        <f>+claims!F230</f>
        <v>1</v>
      </c>
      <c r="Z230" s="6">
        <f t="shared" ref="Z230:Z264" si="58">IF(G230&gt;100,IF(V230&lt;1,0,+V230/G230),IF(V230&lt;1,0,+V230/100))</f>
        <v>0.01</v>
      </c>
      <c r="AA230" s="6">
        <f t="shared" ref="AA230:AA261" si="59">IF(L230&gt;100,IF(W230&lt;1,0,+W230/L230),IF(W230&lt;1,0,+W230/100))</f>
        <v>0.01</v>
      </c>
      <c r="AB230" s="6">
        <f t="shared" si="46"/>
        <v>0.01</v>
      </c>
      <c r="AD230" s="6">
        <f t="shared" si="48"/>
        <v>0.01</v>
      </c>
    </row>
    <row r="231" spans="1:30" outlineLevel="1">
      <c r="A231" t="s">
        <v>382</v>
      </c>
      <c r="B231" t="s">
        <v>383</v>
      </c>
      <c r="C231" s="40"/>
      <c r="D231" s="40" t="s">
        <v>383</v>
      </c>
      <c r="E231" s="40"/>
      <c r="F231" s="69">
        <v>22.5</v>
      </c>
      <c r="G231" s="40">
        <f t="shared" si="56"/>
        <v>22.5</v>
      </c>
      <c r="H231" s="40"/>
      <c r="I231" s="40" t="s">
        <v>383</v>
      </c>
      <c r="J231" s="40"/>
      <c r="K231" s="69">
        <v>22.5</v>
      </c>
      <c r="L231" s="40">
        <f t="shared" si="57"/>
        <v>22.5</v>
      </c>
      <c r="M231" s="40"/>
      <c r="N231" s="40" t="s">
        <v>383</v>
      </c>
      <c r="O231" s="40"/>
      <c r="P231" s="69">
        <v>24</v>
      </c>
      <c r="Q231" s="40">
        <f t="shared" si="50"/>
        <v>24</v>
      </c>
      <c r="R231" s="16">
        <f t="shared" si="55"/>
        <v>23.25</v>
      </c>
      <c r="T231" s="6">
        <f t="shared" si="49"/>
        <v>1.233202205778839E-4</v>
      </c>
      <c r="V231" s="23">
        <f>+claims!D231</f>
        <v>0</v>
      </c>
      <c r="W231" s="23">
        <f>+claims!E231</f>
        <v>1</v>
      </c>
      <c r="X231" s="23">
        <f>+claims!F231</f>
        <v>0</v>
      </c>
      <c r="Z231" s="6">
        <f t="shared" si="58"/>
        <v>0</v>
      </c>
      <c r="AA231" s="6">
        <f t="shared" si="59"/>
        <v>0.01</v>
      </c>
      <c r="AB231" s="6">
        <f t="shared" si="46"/>
        <v>0</v>
      </c>
      <c r="AD231" s="6">
        <f t="shared" si="48"/>
        <v>3.3333333333333335E-3</v>
      </c>
    </row>
    <row r="232" spans="1:30" outlineLevel="1">
      <c r="A232" t="s">
        <v>384</v>
      </c>
      <c r="B232" t="s">
        <v>385</v>
      </c>
      <c r="C232" s="40"/>
      <c r="D232" s="40" t="s">
        <v>385</v>
      </c>
      <c r="E232" s="40"/>
      <c r="F232" s="69">
        <v>73</v>
      </c>
      <c r="G232" s="40">
        <f t="shared" si="56"/>
        <v>73</v>
      </c>
      <c r="H232" s="40"/>
      <c r="I232" s="40" t="s">
        <v>385</v>
      </c>
      <c r="J232" s="40"/>
      <c r="K232" s="69">
        <v>68</v>
      </c>
      <c r="L232" s="40">
        <f t="shared" si="57"/>
        <v>68</v>
      </c>
      <c r="M232" s="40"/>
      <c r="N232" s="40" t="s">
        <v>385</v>
      </c>
      <c r="O232" s="40"/>
      <c r="P232" s="69">
        <v>63</v>
      </c>
      <c r="Q232" s="40">
        <f t="shared" si="50"/>
        <v>63</v>
      </c>
      <c r="R232" s="16">
        <f t="shared" si="55"/>
        <v>66.333333333333329</v>
      </c>
      <c r="T232" s="6">
        <f t="shared" si="49"/>
        <v>3.5183833541217047E-4</v>
      </c>
      <c r="V232" s="23">
        <f>+claims!D232</f>
        <v>1</v>
      </c>
      <c r="W232" s="23">
        <f>+claims!E232</f>
        <v>0</v>
      </c>
      <c r="X232" s="23">
        <f>+claims!F232</f>
        <v>1</v>
      </c>
      <c r="Z232" s="6">
        <f t="shared" si="58"/>
        <v>0.01</v>
      </c>
      <c r="AA232" s="6">
        <f t="shared" si="59"/>
        <v>0</v>
      </c>
      <c r="AB232" s="6">
        <f t="shared" si="46"/>
        <v>0.01</v>
      </c>
      <c r="AD232" s="6">
        <f t="shared" si="48"/>
        <v>6.6666666666666671E-3</v>
      </c>
    </row>
    <row r="233" spans="1:30" s="50" customFormat="1" outlineLevel="1">
      <c r="A233" s="52" t="s">
        <v>564</v>
      </c>
      <c r="B233" s="52" t="s">
        <v>565</v>
      </c>
      <c r="C233" s="40"/>
      <c r="D233" s="40" t="s">
        <v>565</v>
      </c>
      <c r="E233" s="40"/>
      <c r="F233" s="69">
        <v>4</v>
      </c>
      <c r="G233" s="40">
        <f t="shared" si="56"/>
        <v>4</v>
      </c>
      <c r="H233" s="40"/>
      <c r="I233" s="40" t="s">
        <v>565</v>
      </c>
      <c r="J233" s="40"/>
      <c r="K233" s="69">
        <v>4</v>
      </c>
      <c r="L233" s="40">
        <f t="shared" si="57"/>
        <v>4</v>
      </c>
      <c r="M233" s="40"/>
      <c r="N233" s="40" t="s">
        <v>565</v>
      </c>
      <c r="O233" s="40"/>
      <c r="P233" s="69">
        <v>4</v>
      </c>
      <c r="Q233" s="40">
        <f t="shared" si="50"/>
        <v>4</v>
      </c>
      <c r="R233" s="16">
        <f t="shared" si="55"/>
        <v>4</v>
      </c>
      <c r="T233" s="6">
        <f t="shared" si="49"/>
        <v>2.1216382034904754E-5</v>
      </c>
      <c r="V233" s="23">
        <f>+claims!D233</f>
        <v>0</v>
      </c>
      <c r="W233" s="23">
        <f>+claims!E233</f>
        <v>0</v>
      </c>
      <c r="X233" s="23">
        <f>+claims!F233</f>
        <v>0</v>
      </c>
      <c r="Z233" s="6">
        <f t="shared" si="58"/>
        <v>0</v>
      </c>
      <c r="AA233" s="6">
        <f t="shared" si="59"/>
        <v>0</v>
      </c>
      <c r="AB233" s="6">
        <f t="shared" si="46"/>
        <v>0</v>
      </c>
      <c r="AD233" s="6">
        <f t="shared" si="48"/>
        <v>0</v>
      </c>
    </row>
    <row r="234" spans="1:30" outlineLevel="1">
      <c r="A234" t="s">
        <v>386</v>
      </c>
      <c r="B234" t="s">
        <v>387</v>
      </c>
      <c r="C234" s="40"/>
      <c r="D234" s="40" t="s">
        <v>387</v>
      </c>
      <c r="E234" s="40"/>
      <c r="F234" s="69">
        <v>10</v>
      </c>
      <c r="G234" s="40">
        <f t="shared" si="56"/>
        <v>10</v>
      </c>
      <c r="H234" s="40"/>
      <c r="I234" s="40" t="s">
        <v>387</v>
      </c>
      <c r="J234" s="40"/>
      <c r="K234" s="69">
        <v>10</v>
      </c>
      <c r="L234" s="40">
        <f t="shared" si="57"/>
        <v>10</v>
      </c>
      <c r="M234" s="40"/>
      <c r="N234" s="40" t="s">
        <v>387</v>
      </c>
      <c r="O234" s="40"/>
      <c r="P234" s="69">
        <v>10</v>
      </c>
      <c r="Q234" s="40">
        <f t="shared" si="50"/>
        <v>10</v>
      </c>
      <c r="R234" s="16">
        <f t="shared" si="55"/>
        <v>10</v>
      </c>
      <c r="T234" s="6">
        <f t="shared" si="49"/>
        <v>5.3040955087261889E-5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6">
        <f t="shared" si="58"/>
        <v>0</v>
      </c>
      <c r="AA234" s="6">
        <f t="shared" si="59"/>
        <v>0</v>
      </c>
      <c r="AB234" s="6">
        <f t="shared" si="46"/>
        <v>0</v>
      </c>
      <c r="AD234" s="6">
        <f t="shared" si="48"/>
        <v>0</v>
      </c>
    </row>
    <row r="235" spans="1:30" outlineLevel="1">
      <c r="A235" t="s">
        <v>388</v>
      </c>
      <c r="B235" t="s">
        <v>389</v>
      </c>
      <c r="C235" s="40"/>
      <c r="D235" s="40" t="s">
        <v>389</v>
      </c>
      <c r="E235" s="40"/>
      <c r="F235" s="69">
        <v>13</v>
      </c>
      <c r="G235" s="40">
        <f t="shared" si="56"/>
        <v>13</v>
      </c>
      <c r="H235" s="40"/>
      <c r="I235" s="40" t="s">
        <v>389</v>
      </c>
      <c r="J235" s="40"/>
      <c r="K235" s="69">
        <v>13</v>
      </c>
      <c r="L235" s="40">
        <f t="shared" si="57"/>
        <v>13</v>
      </c>
      <c r="M235" s="40"/>
      <c r="N235" s="40" t="s">
        <v>389</v>
      </c>
      <c r="O235" s="40"/>
      <c r="P235" s="69">
        <v>13</v>
      </c>
      <c r="Q235" s="40">
        <f t="shared" ref="Q235:Q261" si="60">AVERAGE(M235:P235)</f>
        <v>13</v>
      </c>
      <c r="R235" s="16">
        <f t="shared" si="55"/>
        <v>13</v>
      </c>
      <c r="T235" s="6">
        <f t="shared" si="49"/>
        <v>6.8953241613440452E-5</v>
      </c>
      <c r="V235" s="23">
        <f>+claims!D235</f>
        <v>0</v>
      </c>
      <c r="W235" s="23">
        <f>+claims!E235</f>
        <v>0</v>
      </c>
      <c r="X235" s="23">
        <f>+claims!F235</f>
        <v>0</v>
      </c>
      <c r="Z235" s="6">
        <f t="shared" si="58"/>
        <v>0</v>
      </c>
      <c r="AA235" s="6">
        <f t="shared" si="59"/>
        <v>0</v>
      </c>
      <c r="AB235" s="6">
        <f t="shared" ref="AB235:AB261" si="61">IF(Q235&gt;100,IF(X235&lt;1,0,+X235/Q235),IF(X235&lt;1,0,+X235/100))</f>
        <v>0</v>
      </c>
      <c r="AD235" s="6">
        <f t="shared" si="48"/>
        <v>0</v>
      </c>
    </row>
    <row r="236" spans="1:30" outlineLevel="1">
      <c r="A236" t="s">
        <v>390</v>
      </c>
      <c r="B236" t="s">
        <v>391</v>
      </c>
      <c r="C236" s="40"/>
      <c r="D236" s="40" t="s">
        <v>391</v>
      </c>
      <c r="E236" s="40"/>
      <c r="F236" s="69">
        <v>9.5</v>
      </c>
      <c r="G236" s="40">
        <f t="shared" si="56"/>
        <v>9.5</v>
      </c>
      <c r="H236" s="40"/>
      <c r="I236" s="40" t="s">
        <v>391</v>
      </c>
      <c r="J236" s="40"/>
      <c r="K236" s="69">
        <v>8</v>
      </c>
      <c r="L236" s="40">
        <f t="shared" si="57"/>
        <v>8</v>
      </c>
      <c r="M236" s="40"/>
      <c r="N236" s="40" t="s">
        <v>391</v>
      </c>
      <c r="O236" s="40"/>
      <c r="P236" s="69">
        <v>7</v>
      </c>
      <c r="Q236" s="40">
        <f t="shared" si="60"/>
        <v>7</v>
      </c>
      <c r="R236" s="16">
        <f t="shared" si="55"/>
        <v>7.75</v>
      </c>
      <c r="T236" s="6">
        <f t="shared" si="49"/>
        <v>4.1106740192627964E-5</v>
      </c>
      <c r="V236" s="23">
        <f>+claims!D236</f>
        <v>0</v>
      </c>
      <c r="W236" s="23">
        <f>+claims!E236</f>
        <v>0</v>
      </c>
      <c r="X236" s="23">
        <f>+claims!F236</f>
        <v>0</v>
      </c>
      <c r="Z236" s="6">
        <f t="shared" si="58"/>
        <v>0</v>
      </c>
      <c r="AA236" s="6">
        <f t="shared" si="59"/>
        <v>0</v>
      </c>
      <c r="AB236" s="6">
        <f t="shared" si="61"/>
        <v>0</v>
      </c>
      <c r="AD236" s="6">
        <f t="shared" si="48"/>
        <v>0</v>
      </c>
    </row>
    <row r="237" spans="1:30" outlineLevel="1">
      <c r="A237" t="s">
        <v>392</v>
      </c>
      <c r="B237" t="s">
        <v>393</v>
      </c>
      <c r="C237" s="40"/>
      <c r="D237" s="40" t="s">
        <v>393</v>
      </c>
      <c r="E237" s="40"/>
      <c r="F237" s="69">
        <v>63</v>
      </c>
      <c r="G237" s="40">
        <f t="shared" si="56"/>
        <v>63</v>
      </c>
      <c r="H237" s="40"/>
      <c r="I237" s="40" t="s">
        <v>393</v>
      </c>
      <c r="J237" s="40"/>
      <c r="K237" s="69">
        <v>63</v>
      </c>
      <c r="L237" s="40">
        <f t="shared" si="57"/>
        <v>63</v>
      </c>
      <c r="M237" s="40"/>
      <c r="N237" s="40" t="s">
        <v>393</v>
      </c>
      <c r="O237" s="40"/>
      <c r="P237" s="69">
        <v>58.5</v>
      </c>
      <c r="Q237" s="40">
        <f t="shared" si="60"/>
        <v>58.5</v>
      </c>
      <c r="R237" s="16">
        <f t="shared" si="55"/>
        <v>60.75</v>
      </c>
      <c r="T237" s="6">
        <f t="shared" si="49"/>
        <v>3.2222380215511594E-4</v>
      </c>
      <c r="V237" s="23">
        <f>+claims!D237</f>
        <v>6</v>
      </c>
      <c r="W237" s="23">
        <f>+claims!E237</f>
        <v>7</v>
      </c>
      <c r="X237" s="23">
        <f>+claims!F237</f>
        <v>4</v>
      </c>
      <c r="Z237" s="6">
        <f t="shared" si="58"/>
        <v>0.06</v>
      </c>
      <c r="AA237" s="6">
        <f t="shared" si="59"/>
        <v>7.0000000000000007E-2</v>
      </c>
      <c r="AB237" s="6">
        <f t="shared" si="61"/>
        <v>0.04</v>
      </c>
      <c r="AD237" s="6">
        <f t="shared" si="48"/>
        <v>5.3333333333333337E-2</v>
      </c>
    </row>
    <row r="238" spans="1:30" outlineLevel="1">
      <c r="A238" t="s">
        <v>394</v>
      </c>
      <c r="B238" t="s">
        <v>395</v>
      </c>
      <c r="C238" s="40"/>
      <c r="D238" s="40" t="s">
        <v>395</v>
      </c>
      <c r="E238" s="40"/>
      <c r="F238" s="69">
        <v>11</v>
      </c>
      <c r="G238" s="40">
        <f t="shared" si="56"/>
        <v>11</v>
      </c>
      <c r="H238" s="40"/>
      <c r="I238" s="40" t="s">
        <v>395</v>
      </c>
      <c r="J238" s="40"/>
      <c r="K238" s="69">
        <v>12</v>
      </c>
      <c r="L238" s="40">
        <f t="shared" si="57"/>
        <v>12</v>
      </c>
      <c r="M238" s="40"/>
      <c r="N238" s="40" t="s">
        <v>395</v>
      </c>
      <c r="O238" s="40"/>
      <c r="P238" s="69">
        <v>10</v>
      </c>
      <c r="Q238" s="40">
        <f t="shared" si="60"/>
        <v>10</v>
      </c>
      <c r="R238" s="16">
        <f t="shared" si="55"/>
        <v>10.833333333333334</v>
      </c>
      <c r="T238" s="6">
        <f t="shared" si="49"/>
        <v>5.7461034677867048E-5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58"/>
        <v>0</v>
      </c>
      <c r="AA238" s="6">
        <f t="shared" si="59"/>
        <v>0</v>
      </c>
      <c r="AB238" s="6">
        <f t="shared" si="61"/>
        <v>0</v>
      </c>
      <c r="AD238" s="6">
        <f t="shared" si="48"/>
        <v>0</v>
      </c>
    </row>
    <row r="239" spans="1:30" outlineLevel="1">
      <c r="A239" t="s">
        <v>396</v>
      </c>
      <c r="B239" t="s">
        <v>397</v>
      </c>
      <c r="C239" s="40"/>
      <c r="D239" s="40" t="s">
        <v>397</v>
      </c>
      <c r="E239" s="40"/>
      <c r="F239" s="69">
        <v>76</v>
      </c>
      <c r="G239" s="40">
        <f t="shared" si="56"/>
        <v>76</v>
      </c>
      <c r="H239" s="40"/>
      <c r="I239" s="40" t="s">
        <v>397</v>
      </c>
      <c r="J239" s="40"/>
      <c r="K239" s="69">
        <v>61</v>
      </c>
      <c r="L239" s="40">
        <f t="shared" si="57"/>
        <v>61</v>
      </c>
      <c r="M239" s="40"/>
      <c r="N239" s="40" t="s">
        <v>397</v>
      </c>
      <c r="O239" s="40"/>
      <c r="P239" s="69">
        <v>58</v>
      </c>
      <c r="Q239" s="40">
        <f t="shared" si="60"/>
        <v>58</v>
      </c>
      <c r="R239" s="16">
        <f t="shared" si="55"/>
        <v>62</v>
      </c>
      <c r="T239" s="6">
        <f t="shared" si="49"/>
        <v>3.2885392154102371E-4</v>
      </c>
      <c r="V239" s="23">
        <f>+claims!D239</f>
        <v>3</v>
      </c>
      <c r="W239" s="23">
        <f>+claims!E239</f>
        <v>1</v>
      </c>
      <c r="X239" s="23">
        <f>+claims!F239</f>
        <v>1</v>
      </c>
      <c r="Z239" s="6">
        <f t="shared" si="58"/>
        <v>0.03</v>
      </c>
      <c r="AA239" s="6">
        <f t="shared" si="59"/>
        <v>0.01</v>
      </c>
      <c r="AB239" s="6">
        <f t="shared" si="61"/>
        <v>0.01</v>
      </c>
      <c r="AD239" s="6">
        <f t="shared" si="48"/>
        <v>1.3333333333333334E-2</v>
      </c>
    </row>
    <row r="240" spans="1:30" outlineLevel="1">
      <c r="A240" t="s">
        <v>398</v>
      </c>
      <c r="B240" t="s">
        <v>399</v>
      </c>
      <c r="C240" s="40"/>
      <c r="D240" s="40" t="s">
        <v>399</v>
      </c>
      <c r="E240" s="40"/>
      <c r="F240" s="69">
        <v>22.5</v>
      </c>
      <c r="G240" s="40">
        <f t="shared" si="56"/>
        <v>22.5</v>
      </c>
      <c r="H240" s="40"/>
      <c r="I240" s="40" t="s">
        <v>399</v>
      </c>
      <c r="J240" s="40"/>
      <c r="K240" s="69">
        <v>22.5</v>
      </c>
      <c r="L240" s="40">
        <f t="shared" si="57"/>
        <v>22.5</v>
      </c>
      <c r="M240" s="40"/>
      <c r="N240" s="40" t="s">
        <v>399</v>
      </c>
      <c r="O240" s="40"/>
      <c r="P240" s="69">
        <v>23.5</v>
      </c>
      <c r="Q240" s="40">
        <f t="shared" si="60"/>
        <v>23.5</v>
      </c>
      <c r="R240" s="16">
        <f t="shared" si="55"/>
        <v>23</v>
      </c>
      <c r="T240" s="6">
        <f t="shared" si="49"/>
        <v>1.2199419670070234E-4</v>
      </c>
      <c r="V240" s="23">
        <f>+claims!D240</f>
        <v>0</v>
      </c>
      <c r="W240" s="23">
        <f>+claims!E240</f>
        <v>0</v>
      </c>
      <c r="X240" s="23">
        <f>+claims!F240</f>
        <v>0</v>
      </c>
      <c r="Z240" s="6">
        <f t="shared" si="58"/>
        <v>0</v>
      </c>
      <c r="AA240" s="6">
        <f t="shared" si="59"/>
        <v>0</v>
      </c>
      <c r="AB240" s="6">
        <f t="shared" si="61"/>
        <v>0</v>
      </c>
      <c r="AD240" s="6">
        <f t="shared" si="48"/>
        <v>0</v>
      </c>
    </row>
    <row r="241" spans="1:30" outlineLevel="1">
      <c r="A241" t="s">
        <v>400</v>
      </c>
      <c r="B241" t="s">
        <v>401</v>
      </c>
      <c r="C241" s="40"/>
      <c r="D241" s="40" t="s">
        <v>401</v>
      </c>
      <c r="E241" s="40"/>
      <c r="F241" s="69">
        <v>349</v>
      </c>
      <c r="G241" s="40">
        <f t="shared" si="56"/>
        <v>349</v>
      </c>
      <c r="H241" s="40"/>
      <c r="I241" s="40" t="s">
        <v>401</v>
      </c>
      <c r="J241" s="40"/>
      <c r="K241" s="69">
        <v>352</v>
      </c>
      <c r="L241" s="40">
        <f t="shared" si="57"/>
        <v>352</v>
      </c>
      <c r="M241" s="40"/>
      <c r="N241" s="40" t="s">
        <v>401</v>
      </c>
      <c r="O241" s="40"/>
      <c r="P241" s="69">
        <v>335.5</v>
      </c>
      <c r="Q241" s="40">
        <f t="shared" si="60"/>
        <v>335.5</v>
      </c>
      <c r="R241" s="16">
        <f t="shared" si="55"/>
        <v>343.25</v>
      </c>
      <c r="T241" s="6">
        <f t="shared" si="49"/>
        <v>1.8206307833702642E-3</v>
      </c>
      <c r="V241" s="23">
        <f>+claims!D241</f>
        <v>12</v>
      </c>
      <c r="W241" s="23">
        <f>+claims!E241</f>
        <v>4</v>
      </c>
      <c r="X241" s="23">
        <f>+claims!F241</f>
        <v>9</v>
      </c>
      <c r="Z241" s="6">
        <f t="shared" si="58"/>
        <v>3.4383954154727794E-2</v>
      </c>
      <c r="AA241" s="6">
        <f t="shared" si="59"/>
        <v>1.1363636363636364E-2</v>
      </c>
      <c r="AB241" s="6">
        <f t="shared" si="61"/>
        <v>2.6825633383010434E-2</v>
      </c>
      <c r="AD241" s="6">
        <f t="shared" si="48"/>
        <v>2.2931354505171971E-2</v>
      </c>
    </row>
    <row r="242" spans="1:30" outlineLevel="1">
      <c r="A242" t="s">
        <v>402</v>
      </c>
      <c r="B242" t="s">
        <v>403</v>
      </c>
      <c r="C242" s="40"/>
      <c r="D242" s="40" t="s">
        <v>403</v>
      </c>
      <c r="E242" s="40"/>
      <c r="F242" s="69">
        <v>90</v>
      </c>
      <c r="G242" s="40">
        <f t="shared" si="56"/>
        <v>90</v>
      </c>
      <c r="H242" s="40"/>
      <c r="I242" s="40" t="s">
        <v>403</v>
      </c>
      <c r="J242" s="40"/>
      <c r="K242" s="69">
        <v>96</v>
      </c>
      <c r="L242" s="40">
        <f t="shared" si="57"/>
        <v>96</v>
      </c>
      <c r="M242" s="40"/>
      <c r="N242" s="40" t="s">
        <v>403</v>
      </c>
      <c r="O242" s="40"/>
      <c r="P242" s="69">
        <v>93</v>
      </c>
      <c r="Q242" s="40">
        <f t="shared" si="60"/>
        <v>93</v>
      </c>
      <c r="R242" s="16">
        <f t="shared" si="55"/>
        <v>93.5</v>
      </c>
      <c r="T242" s="6">
        <f t="shared" si="49"/>
        <v>4.9593293006589868E-4</v>
      </c>
      <c r="V242" s="23">
        <f>+claims!D242</f>
        <v>3</v>
      </c>
      <c r="W242" s="23">
        <f>+claims!E242</f>
        <v>1</v>
      </c>
      <c r="X242" s="23">
        <f>+claims!F242</f>
        <v>0</v>
      </c>
      <c r="Z242" s="6">
        <f t="shared" si="58"/>
        <v>0.03</v>
      </c>
      <c r="AA242" s="6">
        <f t="shared" si="59"/>
        <v>0.01</v>
      </c>
      <c r="AB242" s="6">
        <f t="shared" si="61"/>
        <v>0</v>
      </c>
      <c r="AD242" s="6">
        <f t="shared" si="48"/>
        <v>8.3333333333333332E-3</v>
      </c>
    </row>
    <row r="243" spans="1:30" outlineLevel="1">
      <c r="A243" t="s">
        <v>404</v>
      </c>
      <c r="B243" t="s">
        <v>405</v>
      </c>
      <c r="C243" s="40"/>
      <c r="D243" s="40" t="s">
        <v>405</v>
      </c>
      <c r="E243" s="40"/>
      <c r="F243" s="69">
        <v>30</v>
      </c>
      <c r="G243" s="40">
        <f t="shared" si="56"/>
        <v>30</v>
      </c>
      <c r="H243" s="40"/>
      <c r="I243" s="40" t="s">
        <v>405</v>
      </c>
      <c r="J243" s="40"/>
      <c r="K243" s="69">
        <v>30</v>
      </c>
      <c r="L243" s="40">
        <f t="shared" si="57"/>
        <v>30</v>
      </c>
      <c r="M243" s="40"/>
      <c r="N243" s="40" t="s">
        <v>405</v>
      </c>
      <c r="O243" s="40"/>
      <c r="P243" s="69">
        <v>30.5</v>
      </c>
      <c r="Q243" s="40">
        <f t="shared" si="60"/>
        <v>30.5</v>
      </c>
      <c r="R243" s="16">
        <f t="shared" si="55"/>
        <v>30.25</v>
      </c>
      <c r="T243" s="6">
        <f t="shared" si="49"/>
        <v>1.604488891389672E-4</v>
      </c>
      <c r="V243" s="23">
        <f>+claims!D243</f>
        <v>0</v>
      </c>
      <c r="W243" s="23">
        <f>+claims!E243</f>
        <v>0</v>
      </c>
      <c r="X243" s="23">
        <f>+claims!F243</f>
        <v>1</v>
      </c>
      <c r="Z243" s="6">
        <f t="shared" si="58"/>
        <v>0</v>
      </c>
      <c r="AA243" s="6">
        <f t="shared" si="59"/>
        <v>0</v>
      </c>
      <c r="AB243" s="6">
        <f t="shared" si="61"/>
        <v>0.01</v>
      </c>
      <c r="AD243" s="6">
        <f t="shared" si="48"/>
        <v>5.0000000000000001E-3</v>
      </c>
    </row>
    <row r="244" spans="1:30" outlineLevel="1">
      <c r="A244" t="s">
        <v>406</v>
      </c>
      <c r="B244" t="s">
        <v>407</v>
      </c>
      <c r="C244" s="40"/>
      <c r="D244" s="40" t="s">
        <v>407</v>
      </c>
      <c r="E244" s="40"/>
      <c r="F244" s="69">
        <v>194</v>
      </c>
      <c r="G244" s="40">
        <f t="shared" si="56"/>
        <v>194</v>
      </c>
      <c r="H244" s="40"/>
      <c r="I244" s="40" t="s">
        <v>407</v>
      </c>
      <c r="J244" s="40"/>
      <c r="K244" s="69">
        <v>184</v>
      </c>
      <c r="L244" s="40">
        <f t="shared" si="57"/>
        <v>184</v>
      </c>
      <c r="M244" s="40"/>
      <c r="N244" s="40" t="s">
        <v>407</v>
      </c>
      <c r="O244" s="40"/>
      <c r="P244" s="69">
        <v>194</v>
      </c>
      <c r="Q244" s="40">
        <f t="shared" si="60"/>
        <v>194</v>
      </c>
      <c r="R244" s="16">
        <f t="shared" si="55"/>
        <v>190.66666666666666</v>
      </c>
      <c r="T244" s="6">
        <f t="shared" si="49"/>
        <v>1.01131421033046E-3</v>
      </c>
      <c r="V244" s="23">
        <f>+claims!D244</f>
        <v>2</v>
      </c>
      <c r="W244" s="23">
        <f>+claims!E244</f>
        <v>5</v>
      </c>
      <c r="X244" s="23">
        <f>+claims!F244</f>
        <v>6</v>
      </c>
      <c r="Z244" s="6">
        <f t="shared" si="58"/>
        <v>1.0309278350515464E-2</v>
      </c>
      <c r="AA244" s="6">
        <f t="shared" si="59"/>
        <v>2.717391304347826E-2</v>
      </c>
      <c r="AB244" s="6">
        <f t="shared" si="61"/>
        <v>3.0927835051546393E-2</v>
      </c>
      <c r="AD244" s="6">
        <f t="shared" si="48"/>
        <v>2.624010159868519E-2</v>
      </c>
    </row>
    <row r="245" spans="1:30" outlineLevel="1">
      <c r="A245" t="s">
        <v>408</v>
      </c>
      <c r="B245" t="s">
        <v>409</v>
      </c>
      <c r="C245" s="40"/>
      <c r="D245" s="40" t="s">
        <v>409</v>
      </c>
      <c r="E245" s="40"/>
      <c r="F245" s="69">
        <v>258.5</v>
      </c>
      <c r="G245" s="40">
        <f t="shared" si="56"/>
        <v>258.5</v>
      </c>
      <c r="H245" s="40"/>
      <c r="I245" s="40" t="s">
        <v>409</v>
      </c>
      <c r="J245" s="40"/>
      <c r="K245" s="69">
        <v>250.5</v>
      </c>
      <c r="L245" s="40">
        <f t="shared" si="57"/>
        <v>250.5</v>
      </c>
      <c r="M245" s="40"/>
      <c r="N245" s="40" t="s">
        <v>409</v>
      </c>
      <c r="O245" s="40"/>
      <c r="P245" s="69">
        <v>259.5</v>
      </c>
      <c r="Q245" s="40">
        <f t="shared" si="60"/>
        <v>259.5</v>
      </c>
      <c r="R245" s="16">
        <f t="shared" si="55"/>
        <v>256.33333333333331</v>
      </c>
      <c r="T245" s="6">
        <f t="shared" si="49"/>
        <v>1.3596164820701463E-3</v>
      </c>
      <c r="V245" s="23">
        <f>+claims!D245</f>
        <v>0</v>
      </c>
      <c r="W245" s="23">
        <f>+claims!E245</f>
        <v>0</v>
      </c>
      <c r="X245" s="23">
        <f>+claims!F245</f>
        <v>3</v>
      </c>
      <c r="Z245" s="6">
        <f t="shared" si="58"/>
        <v>0</v>
      </c>
      <c r="AA245" s="6">
        <f t="shared" si="59"/>
        <v>0</v>
      </c>
      <c r="AB245" s="6">
        <f t="shared" si="61"/>
        <v>1.1560693641618497E-2</v>
      </c>
      <c r="AD245" s="6">
        <f t="shared" si="48"/>
        <v>5.7803468208092483E-3</v>
      </c>
    </row>
    <row r="246" spans="1:30" outlineLevel="1">
      <c r="A246" t="s">
        <v>410</v>
      </c>
      <c r="B246" t="s">
        <v>411</v>
      </c>
      <c r="C246" s="40"/>
      <c r="D246" s="40" t="s">
        <v>411</v>
      </c>
      <c r="E246" s="40"/>
      <c r="F246" s="69">
        <v>6.5</v>
      </c>
      <c r="G246" s="40">
        <f t="shared" si="56"/>
        <v>6.5</v>
      </c>
      <c r="H246" s="40"/>
      <c r="I246" s="40" t="s">
        <v>411</v>
      </c>
      <c r="J246" s="40"/>
      <c r="K246" s="69">
        <v>5.5</v>
      </c>
      <c r="L246" s="40">
        <f t="shared" si="57"/>
        <v>5.5</v>
      </c>
      <c r="M246" s="40"/>
      <c r="N246" s="40" t="s">
        <v>411</v>
      </c>
      <c r="O246" s="40"/>
      <c r="P246" s="69">
        <v>5.5</v>
      </c>
      <c r="Q246" s="40">
        <f t="shared" si="60"/>
        <v>5.5</v>
      </c>
      <c r="R246" s="16">
        <f t="shared" si="55"/>
        <v>5.666666666666667</v>
      </c>
      <c r="T246" s="6">
        <f t="shared" si="49"/>
        <v>3.0056541216115071E-5</v>
      </c>
      <c r="V246" s="23">
        <f>+claims!D246</f>
        <v>0</v>
      </c>
      <c r="W246" s="23">
        <f>+claims!E246</f>
        <v>0</v>
      </c>
      <c r="X246" s="23">
        <f>+claims!F246</f>
        <v>0</v>
      </c>
      <c r="Z246" s="6">
        <f t="shared" si="58"/>
        <v>0</v>
      </c>
      <c r="AA246" s="6">
        <f t="shared" si="59"/>
        <v>0</v>
      </c>
      <c r="AB246" s="6">
        <f t="shared" si="61"/>
        <v>0</v>
      </c>
      <c r="AD246" s="6">
        <f t="shared" si="48"/>
        <v>0</v>
      </c>
    </row>
    <row r="247" spans="1:30" outlineLevel="1">
      <c r="A247" t="s">
        <v>412</v>
      </c>
      <c r="B247" t="s">
        <v>413</v>
      </c>
      <c r="C247" s="40"/>
      <c r="D247" s="40" t="s">
        <v>413</v>
      </c>
      <c r="E247" s="40"/>
      <c r="F247" s="69">
        <v>11.5</v>
      </c>
      <c r="G247" s="40">
        <f t="shared" si="56"/>
        <v>11.5</v>
      </c>
      <c r="H247" s="40"/>
      <c r="I247" s="40" t="s">
        <v>413</v>
      </c>
      <c r="J247" s="40"/>
      <c r="K247" s="69">
        <v>11</v>
      </c>
      <c r="L247" s="40">
        <f t="shared" si="57"/>
        <v>11</v>
      </c>
      <c r="M247" s="40"/>
      <c r="N247" s="40" t="s">
        <v>413</v>
      </c>
      <c r="O247" s="40"/>
      <c r="P247" s="69">
        <v>13.5</v>
      </c>
      <c r="Q247" s="40">
        <f t="shared" si="60"/>
        <v>13.5</v>
      </c>
      <c r="R247" s="16">
        <f t="shared" si="55"/>
        <v>12.333333333333334</v>
      </c>
      <c r="T247" s="6">
        <f t="shared" si="49"/>
        <v>6.5417177940956336E-5</v>
      </c>
      <c r="V247" s="23">
        <f>+claims!D247</f>
        <v>0</v>
      </c>
      <c r="W247" s="23">
        <f>+claims!E247</f>
        <v>0</v>
      </c>
      <c r="X247" s="23">
        <f>+claims!F247</f>
        <v>0</v>
      </c>
      <c r="Z247" s="6">
        <f t="shared" si="58"/>
        <v>0</v>
      </c>
      <c r="AA247" s="6">
        <f t="shared" si="59"/>
        <v>0</v>
      </c>
      <c r="AB247" s="6">
        <f t="shared" si="61"/>
        <v>0</v>
      </c>
      <c r="AD247" s="6">
        <f t="shared" si="48"/>
        <v>0</v>
      </c>
    </row>
    <row r="248" spans="1:30" outlineLevel="1">
      <c r="A248" t="s">
        <v>414</v>
      </c>
      <c r="B248" t="s">
        <v>415</v>
      </c>
      <c r="C248" s="40"/>
      <c r="D248" s="40" t="s">
        <v>415</v>
      </c>
      <c r="E248" s="40"/>
      <c r="F248" s="69">
        <v>55</v>
      </c>
      <c r="G248" s="40">
        <f t="shared" si="56"/>
        <v>55</v>
      </c>
      <c r="H248" s="40"/>
      <c r="I248" s="40" t="s">
        <v>415</v>
      </c>
      <c r="J248" s="40"/>
      <c r="K248" s="69">
        <v>57</v>
      </c>
      <c r="L248" s="40">
        <f t="shared" si="57"/>
        <v>57</v>
      </c>
      <c r="M248" s="40"/>
      <c r="N248" s="40" t="s">
        <v>415</v>
      </c>
      <c r="O248" s="40"/>
      <c r="P248" s="69">
        <v>58</v>
      </c>
      <c r="Q248" s="40">
        <f t="shared" si="60"/>
        <v>58</v>
      </c>
      <c r="R248" s="16">
        <f t="shared" si="55"/>
        <v>57.166666666666664</v>
      </c>
      <c r="T248" s="6">
        <f t="shared" si="49"/>
        <v>3.0321745991551376E-4</v>
      </c>
      <c r="V248" s="23">
        <f>+claims!D248</f>
        <v>3</v>
      </c>
      <c r="W248" s="23">
        <f>+claims!E248</f>
        <v>1</v>
      </c>
      <c r="X248" s="23">
        <f>+claims!F248</f>
        <v>4</v>
      </c>
      <c r="Z248" s="6">
        <f t="shared" si="58"/>
        <v>0.03</v>
      </c>
      <c r="AA248" s="6">
        <f t="shared" si="59"/>
        <v>0.01</v>
      </c>
      <c r="AB248" s="6">
        <f t="shared" si="61"/>
        <v>0.04</v>
      </c>
      <c r="AD248" s="6">
        <f t="shared" si="48"/>
        <v>2.8333333333333332E-2</v>
      </c>
    </row>
    <row r="249" spans="1:30" outlineLevel="1">
      <c r="A249" t="s">
        <v>416</v>
      </c>
      <c r="B249" t="s">
        <v>417</v>
      </c>
      <c r="C249" s="40"/>
      <c r="D249" s="40" t="s">
        <v>417</v>
      </c>
      <c r="E249" s="40"/>
      <c r="F249" s="69">
        <v>10</v>
      </c>
      <c r="G249" s="40">
        <f t="shared" si="56"/>
        <v>10</v>
      </c>
      <c r="H249" s="40"/>
      <c r="I249" s="40" t="s">
        <v>417</v>
      </c>
      <c r="J249" s="40"/>
      <c r="K249" s="69">
        <v>7.5</v>
      </c>
      <c r="L249" s="40">
        <f t="shared" si="57"/>
        <v>7.5</v>
      </c>
      <c r="M249" s="40"/>
      <c r="N249" s="40" t="s">
        <v>417</v>
      </c>
      <c r="O249" s="40"/>
      <c r="P249" s="69">
        <v>11</v>
      </c>
      <c r="Q249" s="40">
        <f t="shared" si="60"/>
        <v>11</v>
      </c>
      <c r="R249" s="16">
        <f t="shared" si="55"/>
        <v>9.6666666666666661</v>
      </c>
      <c r="T249" s="6">
        <f t="shared" si="49"/>
        <v>5.1272923251019818E-5</v>
      </c>
      <c r="V249" s="23">
        <f>+claims!D249</f>
        <v>0</v>
      </c>
      <c r="W249" s="23">
        <f>+claims!E249</f>
        <v>0</v>
      </c>
      <c r="X249" s="23">
        <f>+claims!F249</f>
        <v>0</v>
      </c>
      <c r="Z249" s="6">
        <f t="shared" si="58"/>
        <v>0</v>
      </c>
      <c r="AA249" s="6">
        <f t="shared" si="59"/>
        <v>0</v>
      </c>
      <c r="AB249" s="6">
        <f t="shared" si="61"/>
        <v>0</v>
      </c>
      <c r="AD249" s="6">
        <f t="shared" si="48"/>
        <v>0</v>
      </c>
    </row>
    <row r="250" spans="1:30" outlineLevel="1">
      <c r="A250" t="s">
        <v>418</v>
      </c>
      <c r="B250" t="s">
        <v>419</v>
      </c>
      <c r="C250" s="40"/>
      <c r="D250" s="40" t="s">
        <v>419</v>
      </c>
      <c r="E250" s="40"/>
      <c r="F250" s="69">
        <v>12</v>
      </c>
      <c r="G250" s="40">
        <f t="shared" si="56"/>
        <v>12</v>
      </c>
      <c r="H250" s="40"/>
      <c r="I250" s="40" t="s">
        <v>419</v>
      </c>
      <c r="J250" s="40"/>
      <c r="K250" s="69">
        <v>12</v>
      </c>
      <c r="L250" s="40">
        <f t="shared" si="57"/>
        <v>12</v>
      </c>
      <c r="M250" s="40"/>
      <c r="N250" s="40" t="s">
        <v>419</v>
      </c>
      <c r="O250" s="40"/>
      <c r="P250" s="69">
        <v>13</v>
      </c>
      <c r="Q250" s="40">
        <f t="shared" si="60"/>
        <v>13</v>
      </c>
      <c r="R250" s="16">
        <f t="shared" si="55"/>
        <v>12.5</v>
      </c>
      <c r="T250" s="6">
        <f t="shared" si="49"/>
        <v>6.6301193859077351E-5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58"/>
        <v>0</v>
      </c>
      <c r="AA250" s="6">
        <f t="shared" si="59"/>
        <v>0</v>
      </c>
      <c r="AB250" s="6">
        <f t="shared" si="61"/>
        <v>0</v>
      </c>
      <c r="AD250" s="6">
        <f t="shared" si="48"/>
        <v>0</v>
      </c>
    </row>
    <row r="251" spans="1:30" outlineLevel="1">
      <c r="A251" t="s">
        <v>420</v>
      </c>
      <c r="B251" t="s">
        <v>421</v>
      </c>
      <c r="C251" s="40"/>
      <c r="D251" s="40" t="s">
        <v>421</v>
      </c>
      <c r="E251" s="40"/>
      <c r="F251" s="69">
        <v>63</v>
      </c>
      <c r="G251" s="40">
        <f t="shared" si="56"/>
        <v>63</v>
      </c>
      <c r="H251" s="40"/>
      <c r="I251" s="40" t="s">
        <v>421</v>
      </c>
      <c r="J251" s="40"/>
      <c r="K251" s="69">
        <v>61.5</v>
      </c>
      <c r="L251" s="40">
        <f t="shared" si="57"/>
        <v>61.5</v>
      </c>
      <c r="M251" s="40"/>
      <c r="N251" s="40" t="s">
        <v>421</v>
      </c>
      <c r="O251" s="40"/>
      <c r="P251" s="69">
        <v>57.5</v>
      </c>
      <c r="Q251" s="40">
        <f t="shared" si="60"/>
        <v>57.5</v>
      </c>
      <c r="R251" s="16">
        <f t="shared" si="55"/>
        <v>59.75</v>
      </c>
      <c r="T251" s="6">
        <f t="shared" si="49"/>
        <v>3.1691970664638977E-4</v>
      </c>
      <c r="V251" s="23">
        <f>+claims!D251</f>
        <v>1</v>
      </c>
      <c r="W251" s="23">
        <f>+claims!E251</f>
        <v>0</v>
      </c>
      <c r="X251" s="23">
        <f>+claims!F251</f>
        <v>0</v>
      </c>
      <c r="Z251" s="6">
        <f t="shared" si="58"/>
        <v>0.01</v>
      </c>
      <c r="AA251" s="6">
        <f t="shared" si="59"/>
        <v>0</v>
      </c>
      <c r="AB251" s="6">
        <f t="shared" si="61"/>
        <v>0</v>
      </c>
      <c r="AD251" s="6">
        <f t="shared" si="48"/>
        <v>1.6666666666666668E-3</v>
      </c>
    </row>
    <row r="252" spans="1:30" outlineLevel="1">
      <c r="A252" t="s">
        <v>422</v>
      </c>
      <c r="B252" t="s">
        <v>423</v>
      </c>
      <c r="C252" s="40"/>
      <c r="D252" s="40" t="s">
        <v>423</v>
      </c>
      <c r="E252" s="40"/>
      <c r="F252" s="69">
        <v>28.5</v>
      </c>
      <c r="G252" s="40">
        <f t="shared" si="56"/>
        <v>28.5</v>
      </c>
      <c r="H252" s="40"/>
      <c r="I252" s="40" t="s">
        <v>423</v>
      </c>
      <c r="J252" s="40"/>
      <c r="K252" s="69">
        <v>26.5</v>
      </c>
      <c r="L252" s="40">
        <f t="shared" si="57"/>
        <v>26.5</v>
      </c>
      <c r="M252" s="40"/>
      <c r="N252" s="40" t="s">
        <v>423</v>
      </c>
      <c r="O252" s="40"/>
      <c r="P252" s="69">
        <v>28.5</v>
      </c>
      <c r="Q252" s="40">
        <f t="shared" si="60"/>
        <v>28.5</v>
      </c>
      <c r="R252" s="16">
        <f t="shared" si="55"/>
        <v>27.833333333333332</v>
      </c>
      <c r="T252" s="6">
        <f t="shared" si="49"/>
        <v>1.4763065832621225E-4</v>
      </c>
      <c r="V252" s="23">
        <f>+claims!D252</f>
        <v>0</v>
      </c>
      <c r="W252" s="23">
        <f>+claims!E252</f>
        <v>0</v>
      </c>
      <c r="X252" s="23">
        <f>+claims!F252</f>
        <v>0</v>
      </c>
      <c r="Z252" s="6">
        <f t="shared" si="58"/>
        <v>0</v>
      </c>
      <c r="AA252" s="6">
        <f t="shared" si="59"/>
        <v>0</v>
      </c>
      <c r="AB252" s="6">
        <f t="shared" si="61"/>
        <v>0</v>
      </c>
      <c r="AD252" s="6">
        <f t="shared" si="48"/>
        <v>0</v>
      </c>
    </row>
    <row r="253" spans="1:30" outlineLevel="1">
      <c r="A253" t="s">
        <v>424</v>
      </c>
      <c r="B253" t="s">
        <v>425</v>
      </c>
      <c r="C253" s="40"/>
      <c r="D253" s="40" t="s">
        <v>425</v>
      </c>
      <c r="E253" s="40"/>
      <c r="F253" s="69">
        <v>53.5</v>
      </c>
      <c r="G253" s="40">
        <f t="shared" si="56"/>
        <v>53.5</v>
      </c>
      <c r="H253" s="40"/>
      <c r="I253" s="40" t="s">
        <v>425</v>
      </c>
      <c r="J253" s="40"/>
      <c r="K253" s="69">
        <v>56</v>
      </c>
      <c r="L253" s="40">
        <f t="shared" si="57"/>
        <v>56</v>
      </c>
      <c r="M253" s="40"/>
      <c r="N253" s="40" t="s">
        <v>425</v>
      </c>
      <c r="O253" s="40"/>
      <c r="P253" s="69">
        <v>53</v>
      </c>
      <c r="Q253" s="40">
        <f t="shared" si="60"/>
        <v>53</v>
      </c>
      <c r="R253" s="16">
        <f t="shared" si="55"/>
        <v>54.083333333333336</v>
      </c>
      <c r="T253" s="6">
        <f t="shared" si="49"/>
        <v>2.8686316543027472E-4</v>
      </c>
      <c r="V253" s="23">
        <f>+claims!D253</f>
        <v>1</v>
      </c>
      <c r="W253" s="23">
        <f>+claims!E253</f>
        <v>2</v>
      </c>
      <c r="X253" s="23">
        <f>+claims!F253</f>
        <v>2</v>
      </c>
      <c r="Z253" s="6">
        <f t="shared" si="58"/>
        <v>0.01</v>
      </c>
      <c r="AA253" s="6">
        <f t="shared" si="59"/>
        <v>0.02</v>
      </c>
      <c r="AB253" s="6">
        <f t="shared" si="61"/>
        <v>0.02</v>
      </c>
      <c r="AD253" s="6">
        <f t="shared" si="48"/>
        <v>1.8333333333333333E-2</v>
      </c>
    </row>
    <row r="254" spans="1:30" outlineLevel="1">
      <c r="A254" t="s">
        <v>426</v>
      </c>
      <c r="B254" t="s">
        <v>427</v>
      </c>
      <c r="C254" s="40"/>
      <c r="D254" s="40" t="s">
        <v>427</v>
      </c>
      <c r="E254" s="40"/>
      <c r="F254" s="69">
        <v>3</v>
      </c>
      <c r="G254" s="40">
        <f t="shared" si="56"/>
        <v>3</v>
      </c>
      <c r="H254" s="40"/>
      <c r="I254" s="40" t="s">
        <v>427</v>
      </c>
      <c r="J254" s="40"/>
      <c r="K254" s="69">
        <v>3</v>
      </c>
      <c r="L254" s="40">
        <f t="shared" si="57"/>
        <v>3</v>
      </c>
      <c r="M254" s="40"/>
      <c r="N254" s="40" t="s">
        <v>427</v>
      </c>
      <c r="O254" s="40"/>
      <c r="P254" s="69">
        <v>3</v>
      </c>
      <c r="Q254" s="40">
        <f t="shared" si="60"/>
        <v>3</v>
      </c>
      <c r="R254" s="16">
        <f t="shared" si="55"/>
        <v>3</v>
      </c>
      <c r="T254" s="6">
        <f t="shared" si="49"/>
        <v>1.5912286526178566E-5</v>
      </c>
      <c r="V254" s="23">
        <f>+claims!D254</f>
        <v>0</v>
      </c>
      <c r="W254" s="23">
        <f>+claims!E254</f>
        <v>0</v>
      </c>
      <c r="X254" s="23">
        <f>+claims!F254</f>
        <v>0</v>
      </c>
      <c r="Z254" s="6">
        <f t="shared" si="58"/>
        <v>0</v>
      </c>
      <c r="AA254" s="6">
        <f t="shared" si="59"/>
        <v>0</v>
      </c>
      <c r="AB254" s="6">
        <f t="shared" si="61"/>
        <v>0</v>
      </c>
      <c r="AD254" s="6">
        <f t="shared" si="48"/>
        <v>0</v>
      </c>
    </row>
    <row r="255" spans="1:30" outlineLevel="1">
      <c r="A255" t="s">
        <v>428</v>
      </c>
      <c r="B255" t="s">
        <v>429</v>
      </c>
      <c r="C255" s="40"/>
      <c r="D255" s="40" t="s">
        <v>429</v>
      </c>
      <c r="E255" s="40"/>
      <c r="F255" s="69">
        <v>24.5</v>
      </c>
      <c r="G255" s="40">
        <f t="shared" si="56"/>
        <v>24.5</v>
      </c>
      <c r="H255" s="40"/>
      <c r="I255" s="40" t="s">
        <v>429</v>
      </c>
      <c r="J255" s="40"/>
      <c r="K255" s="69">
        <v>24.5</v>
      </c>
      <c r="L255" s="40">
        <f t="shared" si="57"/>
        <v>24.5</v>
      </c>
      <c r="M255" s="40"/>
      <c r="N255" s="40" t="s">
        <v>429</v>
      </c>
      <c r="O255" s="40"/>
      <c r="P255" s="69">
        <v>25.5</v>
      </c>
      <c r="Q255" s="40">
        <f t="shared" si="60"/>
        <v>25.5</v>
      </c>
      <c r="R255" s="16">
        <f t="shared" si="55"/>
        <v>25</v>
      </c>
      <c r="T255" s="6">
        <f t="shared" si="49"/>
        <v>1.326023877181547E-4</v>
      </c>
      <c r="V255" s="23">
        <f>+claims!D255</f>
        <v>0</v>
      </c>
      <c r="W255" s="23">
        <f>+claims!E255</f>
        <v>0</v>
      </c>
      <c r="X255" s="23">
        <f>+claims!F255</f>
        <v>2</v>
      </c>
      <c r="Z255" s="6">
        <f t="shared" si="58"/>
        <v>0</v>
      </c>
      <c r="AA255" s="6">
        <f t="shared" si="59"/>
        <v>0</v>
      </c>
      <c r="AB255" s="6">
        <f t="shared" si="61"/>
        <v>0.02</v>
      </c>
      <c r="AD255" s="6">
        <f t="shared" si="48"/>
        <v>0.01</v>
      </c>
    </row>
    <row r="256" spans="1:30" outlineLevel="1">
      <c r="A256" t="s">
        <v>430</v>
      </c>
      <c r="B256" t="s">
        <v>431</v>
      </c>
      <c r="C256" s="40"/>
      <c r="D256" s="40" t="s">
        <v>431</v>
      </c>
      <c r="E256" s="40"/>
      <c r="F256" s="69">
        <v>5</v>
      </c>
      <c r="G256" s="40">
        <f t="shared" si="56"/>
        <v>5</v>
      </c>
      <c r="H256" s="40"/>
      <c r="I256" s="40" t="s">
        <v>431</v>
      </c>
      <c r="J256" s="40"/>
      <c r="K256" s="69">
        <v>5</v>
      </c>
      <c r="L256" s="40">
        <f t="shared" si="57"/>
        <v>5</v>
      </c>
      <c r="M256" s="40"/>
      <c r="N256" s="40" t="s">
        <v>431</v>
      </c>
      <c r="O256" s="40"/>
      <c r="P256" s="69">
        <v>5</v>
      </c>
      <c r="Q256" s="40">
        <f t="shared" si="60"/>
        <v>5</v>
      </c>
      <c r="R256" s="16">
        <f t="shared" si="55"/>
        <v>5</v>
      </c>
      <c r="T256" s="6">
        <f t="shared" si="49"/>
        <v>2.6520477543630945E-5</v>
      </c>
      <c r="V256" s="23">
        <f>+claims!D256</f>
        <v>0</v>
      </c>
      <c r="W256" s="23">
        <f>+claims!E256</f>
        <v>0</v>
      </c>
      <c r="X256" s="23">
        <f>+claims!F256</f>
        <v>0</v>
      </c>
      <c r="Z256" s="6">
        <f t="shared" si="58"/>
        <v>0</v>
      </c>
      <c r="AA256" s="6">
        <f t="shared" si="59"/>
        <v>0</v>
      </c>
      <c r="AB256" s="6">
        <f t="shared" si="61"/>
        <v>0</v>
      </c>
      <c r="AD256" s="6">
        <f t="shared" ref="AD256:AD262" si="62">(+Z256+(AA256*2)+(AB256*3))/6</f>
        <v>0</v>
      </c>
    </row>
    <row r="257" spans="1:30" outlineLevel="1">
      <c r="A257" t="s">
        <v>432</v>
      </c>
      <c r="B257" t="s">
        <v>433</v>
      </c>
      <c r="C257" s="40"/>
      <c r="D257" s="40" t="s">
        <v>433</v>
      </c>
      <c r="E257" s="40"/>
      <c r="F257" s="69">
        <v>112.5</v>
      </c>
      <c r="G257" s="40">
        <f t="shared" si="56"/>
        <v>112.5</v>
      </c>
      <c r="H257" s="40"/>
      <c r="I257" s="40" t="s">
        <v>433</v>
      </c>
      <c r="J257" s="40"/>
      <c r="K257" s="69">
        <v>113.5</v>
      </c>
      <c r="L257" s="40">
        <f t="shared" si="57"/>
        <v>113.5</v>
      </c>
      <c r="M257" s="40"/>
      <c r="N257" s="40" t="s">
        <v>433</v>
      </c>
      <c r="O257" s="40"/>
      <c r="P257" s="69">
        <v>105.5</v>
      </c>
      <c r="Q257" s="40">
        <f t="shared" si="60"/>
        <v>105.5</v>
      </c>
      <c r="R257" s="16">
        <f t="shared" si="55"/>
        <v>109.33333333333333</v>
      </c>
      <c r="T257" s="6">
        <f t="shared" si="49"/>
        <v>5.7991444228739654E-4</v>
      </c>
      <c r="V257" s="23">
        <f>+claims!D257</f>
        <v>1</v>
      </c>
      <c r="W257" s="23">
        <f>+claims!E257</f>
        <v>1</v>
      </c>
      <c r="X257" s="23">
        <f>+claims!F257</f>
        <v>0</v>
      </c>
      <c r="Z257" s="6">
        <f t="shared" si="58"/>
        <v>8.8888888888888889E-3</v>
      </c>
      <c r="AA257" s="6">
        <f t="shared" si="59"/>
        <v>8.8105726872246704E-3</v>
      </c>
      <c r="AB257" s="6">
        <f t="shared" si="61"/>
        <v>0</v>
      </c>
      <c r="AD257" s="6">
        <f t="shared" si="62"/>
        <v>4.4183390438897047E-3</v>
      </c>
    </row>
    <row r="258" spans="1:30" outlineLevel="1">
      <c r="A258" t="s">
        <v>434</v>
      </c>
      <c r="B258" t="s">
        <v>435</v>
      </c>
      <c r="C258" s="40"/>
      <c r="D258" s="40" t="s">
        <v>435</v>
      </c>
      <c r="E258" s="40"/>
      <c r="F258" s="69">
        <v>5.5</v>
      </c>
      <c r="G258" s="40">
        <f t="shared" si="56"/>
        <v>5.5</v>
      </c>
      <c r="H258" s="40"/>
      <c r="I258" s="40" t="s">
        <v>435</v>
      </c>
      <c r="J258" s="40"/>
      <c r="K258" s="69">
        <v>4.5</v>
      </c>
      <c r="L258" s="40">
        <f t="shared" si="57"/>
        <v>4.5</v>
      </c>
      <c r="M258" s="40"/>
      <c r="N258" s="40" t="s">
        <v>435</v>
      </c>
      <c r="O258" s="40"/>
      <c r="P258" s="69">
        <v>4.5</v>
      </c>
      <c r="Q258" s="40">
        <f t="shared" si="60"/>
        <v>4.5</v>
      </c>
      <c r="R258" s="16">
        <f t="shared" si="55"/>
        <v>4.666666666666667</v>
      </c>
      <c r="T258" s="6">
        <f t="shared" si="49"/>
        <v>2.4752445707388883E-5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6">
        <f t="shared" si="58"/>
        <v>0</v>
      </c>
      <c r="AA258" s="6">
        <f t="shared" si="59"/>
        <v>0</v>
      </c>
      <c r="AB258" s="6">
        <f t="shared" si="61"/>
        <v>0</v>
      </c>
      <c r="AD258" s="6">
        <f t="shared" si="62"/>
        <v>0</v>
      </c>
    </row>
    <row r="259" spans="1:30" outlineLevel="1">
      <c r="A259" s="50" t="s">
        <v>569</v>
      </c>
      <c r="B259" s="50" t="s">
        <v>570</v>
      </c>
      <c r="C259" s="40"/>
      <c r="D259" s="40" t="s">
        <v>570</v>
      </c>
      <c r="E259" s="40"/>
      <c r="F259" s="52">
        <v>18</v>
      </c>
      <c r="G259" s="40">
        <f>AVERAGE(C259:F259)</f>
        <v>18</v>
      </c>
      <c r="H259" s="40"/>
      <c r="I259" s="40" t="s">
        <v>570</v>
      </c>
      <c r="J259" s="40"/>
      <c r="K259" s="52">
        <v>18.5</v>
      </c>
      <c r="L259" s="40">
        <f>AVERAGE(H259:K259)</f>
        <v>18.5</v>
      </c>
      <c r="M259" s="40"/>
      <c r="N259" s="40" t="s">
        <v>570</v>
      </c>
      <c r="O259" s="40"/>
      <c r="P259" s="52">
        <v>16</v>
      </c>
      <c r="Q259" s="40">
        <f>AVERAGE(M259:P259)</f>
        <v>16</v>
      </c>
      <c r="R259" s="16">
        <f>IF(G259&gt;0,(+G259+(L259*2)+(Q259*3))/6,IF(L259&gt;0,((L259*2)+(Q259*3))/5,Q259))</f>
        <v>17.166666666666668</v>
      </c>
      <c r="T259" s="6">
        <f t="shared" si="49"/>
        <v>9.1053639566466245E-5</v>
      </c>
      <c r="V259" s="23">
        <f>+claims!D259</f>
        <v>0</v>
      </c>
      <c r="W259" s="23">
        <f>+claims!E259</f>
        <v>0</v>
      </c>
      <c r="X259" s="23">
        <f>+claims!F259</f>
        <v>1</v>
      </c>
      <c r="Z259" s="6">
        <f>IF(G259&gt;100,IF(V259&lt;1,0,+V259/G259),IF(V259&lt;1,0,+V259/100))</f>
        <v>0</v>
      </c>
      <c r="AA259" s="6">
        <f>IF(L259&gt;100,IF(W259&lt;1,0,+W259/L259),IF(W259&lt;1,0,+W259/100))</f>
        <v>0</v>
      </c>
      <c r="AB259" s="6">
        <f>IF(Q259&gt;100,IF(X259&lt;1,0,+X259/Q259),IF(X259&lt;1,0,+X259/100))</f>
        <v>0.01</v>
      </c>
      <c r="AD259" s="6">
        <f>(+Z259+(AA259*2)+(AB259*3))/6</f>
        <v>5.0000000000000001E-3</v>
      </c>
    </row>
    <row r="260" spans="1:30" outlineLevel="1">
      <c r="A260" t="s">
        <v>436</v>
      </c>
      <c r="B260" t="s">
        <v>437</v>
      </c>
      <c r="C260" s="40"/>
      <c r="D260" s="40" t="s">
        <v>437</v>
      </c>
      <c r="E260" s="40"/>
      <c r="F260" s="69">
        <v>9</v>
      </c>
      <c r="G260" s="40">
        <f t="shared" si="56"/>
        <v>9</v>
      </c>
      <c r="H260" s="40"/>
      <c r="I260" s="40" t="s">
        <v>437</v>
      </c>
      <c r="J260" s="40"/>
      <c r="K260" s="69">
        <v>8</v>
      </c>
      <c r="L260" s="40">
        <f t="shared" si="57"/>
        <v>8</v>
      </c>
      <c r="M260" s="40"/>
      <c r="N260" s="40" t="s">
        <v>437</v>
      </c>
      <c r="O260" s="40"/>
      <c r="P260" s="69">
        <v>7.5</v>
      </c>
      <c r="Q260" s="40">
        <f t="shared" si="60"/>
        <v>7.5</v>
      </c>
      <c r="R260" s="16">
        <f t="shared" si="55"/>
        <v>7.916666666666667</v>
      </c>
      <c r="T260" s="6">
        <f t="shared" si="49"/>
        <v>4.1990756110748993E-5</v>
      </c>
      <c r="V260" s="23">
        <f>+claims!D260</f>
        <v>0</v>
      </c>
      <c r="W260" s="23">
        <f>+claims!E260</f>
        <v>0</v>
      </c>
      <c r="X260" s="23">
        <f>+claims!F260</f>
        <v>1</v>
      </c>
      <c r="Z260" s="6">
        <f t="shared" si="58"/>
        <v>0</v>
      </c>
      <c r="AA260" s="6">
        <f t="shared" si="59"/>
        <v>0</v>
      </c>
      <c r="AB260" s="6">
        <f t="shared" si="61"/>
        <v>0.01</v>
      </c>
      <c r="AD260" s="6">
        <f t="shared" si="62"/>
        <v>5.0000000000000001E-3</v>
      </c>
    </row>
    <row r="261" spans="1:30" outlineLevel="1">
      <c r="A261" t="s">
        <v>438</v>
      </c>
      <c r="B261" t="s">
        <v>439</v>
      </c>
      <c r="C261" s="40"/>
      <c r="D261" s="40" t="s">
        <v>439</v>
      </c>
      <c r="E261" s="40"/>
      <c r="F261" s="69">
        <v>7.5</v>
      </c>
      <c r="G261" s="48">
        <f t="shared" si="56"/>
        <v>7.5</v>
      </c>
      <c r="H261" s="40"/>
      <c r="I261" s="40" t="s">
        <v>439</v>
      </c>
      <c r="J261" s="40"/>
      <c r="K261" s="69">
        <v>8</v>
      </c>
      <c r="L261" s="48">
        <f t="shared" si="57"/>
        <v>8</v>
      </c>
      <c r="M261" s="40"/>
      <c r="N261" s="40" t="s">
        <v>439</v>
      </c>
      <c r="O261" s="40"/>
      <c r="P261" s="69">
        <v>11</v>
      </c>
      <c r="Q261" s="48">
        <f t="shared" si="60"/>
        <v>11</v>
      </c>
      <c r="R261" s="20">
        <f t="shared" si="55"/>
        <v>9.4166666666666661</v>
      </c>
      <c r="T261" s="26">
        <f t="shared" si="49"/>
        <v>4.9946899373838274E-5</v>
      </c>
      <c r="V261" s="27">
        <f>+claims!D261</f>
        <v>0</v>
      </c>
      <c r="W261" s="27">
        <f>+claims!E261</f>
        <v>0</v>
      </c>
      <c r="X261" s="27">
        <f>+claims!F261</f>
        <v>0</v>
      </c>
      <c r="Z261" s="26">
        <f t="shared" si="58"/>
        <v>0</v>
      </c>
      <c r="AA261" s="26">
        <f t="shared" si="59"/>
        <v>0</v>
      </c>
      <c r="AB261" s="26">
        <f t="shared" si="61"/>
        <v>0</v>
      </c>
      <c r="AD261" s="26">
        <f t="shared" si="62"/>
        <v>0</v>
      </c>
    </row>
    <row r="262" spans="1:30" s="52" customFormat="1">
      <c r="B262" s="52" t="s">
        <v>483</v>
      </c>
      <c r="C262" s="40">
        <f>SUBTOTAL(9,C140:C261)</f>
        <v>0</v>
      </c>
      <c r="D262" s="40">
        <f t="shared" ref="D262:R262" si="63">SUBTOTAL(9,D140:D261)</f>
        <v>0</v>
      </c>
      <c r="E262" s="40">
        <f t="shared" si="63"/>
        <v>0</v>
      </c>
      <c r="F262" s="40">
        <f t="shared" si="63"/>
        <v>6531</v>
      </c>
      <c r="G262" s="40">
        <f t="shared" si="63"/>
        <v>6531</v>
      </c>
      <c r="H262" s="40">
        <f t="shared" si="63"/>
        <v>0</v>
      </c>
      <c r="I262" s="40">
        <f t="shared" si="63"/>
        <v>0</v>
      </c>
      <c r="J262" s="40">
        <f t="shared" si="63"/>
        <v>0</v>
      </c>
      <c r="K262" s="40">
        <f t="shared" si="63"/>
        <v>6421.5</v>
      </c>
      <c r="L262" s="40">
        <f t="shared" si="63"/>
        <v>6421.5</v>
      </c>
      <c r="M262" s="79">
        <f t="shared" si="63"/>
        <v>0</v>
      </c>
      <c r="N262" s="79">
        <f t="shared" si="63"/>
        <v>0</v>
      </c>
      <c r="O262" s="79">
        <f t="shared" si="63"/>
        <v>0</v>
      </c>
      <c r="P262" s="79">
        <f>SUBTOTAL(9,P140:P261)</f>
        <v>6200.5</v>
      </c>
      <c r="Q262" s="40">
        <f t="shared" si="63"/>
        <v>6200.5</v>
      </c>
      <c r="R262" s="40">
        <f t="shared" si="63"/>
        <v>6329.2500000000027</v>
      </c>
      <c r="T262" s="41">
        <f>SUBTOTAL(9,T140:T261)</f>
        <v>3.3570946498605238E-2</v>
      </c>
      <c r="V262" s="42">
        <f>SUBTOTAL(9,V140:V261)</f>
        <v>116</v>
      </c>
      <c r="W262" s="42">
        <f>SUBTOTAL(9,W140:W261)</f>
        <v>93</v>
      </c>
      <c r="X262" s="42">
        <f>SUBTOTAL(9,X140:X261)</f>
        <v>97</v>
      </c>
      <c r="Z262" s="41">
        <f>IF(G262&gt;100,IF(V262&lt;1,0,+V262/G262),IF(V262&lt;1,0,+V262/100))</f>
        <v>1.7761445414178532E-2</v>
      </c>
      <c r="AA262" s="41">
        <f>IF(L262&gt;100,IF(W262&lt;1,0,+W262/L262),IF(W262&lt;1,0,+W262/100))</f>
        <v>1.4482597523943003E-2</v>
      </c>
      <c r="AB262" s="41">
        <f>IF(Q262&gt;100,IF(X262&lt;1,0,+X262/Q262),IF(X262&lt;1,0,+X262/100))</f>
        <v>1.5643899685509232E-2</v>
      </c>
      <c r="AD262" s="41">
        <f t="shared" si="62"/>
        <v>1.5609723253098706E-2</v>
      </c>
    </row>
    <row r="263" spans="1:30" ht="6" customHeight="1">
      <c r="C263" s="40"/>
      <c r="D263" s="40"/>
      <c r="E263" s="40"/>
      <c r="F263" s="40"/>
      <c r="G263" s="48"/>
      <c r="H263" s="40"/>
      <c r="I263" s="40"/>
      <c r="J263" s="40"/>
      <c r="K263" s="40"/>
      <c r="L263" s="48"/>
      <c r="M263" s="40"/>
      <c r="N263" s="40"/>
      <c r="O263" s="40"/>
      <c r="P263" s="40"/>
      <c r="Q263" s="48"/>
      <c r="R263" s="16"/>
      <c r="V263" s="23"/>
      <c r="W263" s="23"/>
      <c r="X263" s="23"/>
    </row>
    <row r="264" spans="1:30" s="52" customFormat="1" ht="13.5" thickBot="1">
      <c r="C264" s="40">
        <f t="shared" ref="C264:R264" si="64">SUBTOTAL(9,C4:C263)</f>
        <v>182187.90000000002</v>
      </c>
      <c r="D264" s="40">
        <f t="shared" si="64"/>
        <v>181667.7</v>
      </c>
      <c r="E264" s="40">
        <f t="shared" si="64"/>
        <v>182785.70000000004</v>
      </c>
      <c r="F264" s="40">
        <f t="shared" si="64"/>
        <v>181450.50000000006</v>
      </c>
      <c r="G264" s="40">
        <f t="shared" si="64"/>
        <v>186921.20000000007</v>
      </c>
      <c r="H264" s="40">
        <f t="shared" si="64"/>
        <v>183916.09999999998</v>
      </c>
      <c r="I264" s="40">
        <f t="shared" si="64"/>
        <v>182791.79999999996</v>
      </c>
      <c r="J264" s="40">
        <f t="shared" si="64"/>
        <v>183987.6</v>
      </c>
      <c r="K264" s="40">
        <f t="shared" si="64"/>
        <v>180710.79999999996</v>
      </c>
      <c r="L264" s="40">
        <f t="shared" si="64"/>
        <v>187667.7</v>
      </c>
      <c r="M264" s="79">
        <f t="shared" si="64"/>
        <v>184946.40000000005</v>
      </c>
      <c r="N264" s="79">
        <f t="shared" si="64"/>
        <v>184340.19999999998</v>
      </c>
      <c r="O264" s="79">
        <f t="shared" si="64"/>
        <v>186540.80000000002</v>
      </c>
      <c r="P264" s="79">
        <f t="shared" si="64"/>
        <v>184164.1</v>
      </c>
      <c r="Q264" s="40">
        <f t="shared" si="64"/>
        <v>189648.24999999994</v>
      </c>
      <c r="R264" s="43">
        <f t="shared" si="64"/>
        <v>188533.55833333329</v>
      </c>
      <c r="T264" s="47">
        <f>SUBTOTAL(9,T4:T263)</f>
        <v>1.0000000000000009</v>
      </c>
      <c r="V264" s="44">
        <f>SUBTOTAL(9,V4:V263)</f>
        <v>6450</v>
      </c>
      <c r="W264" s="44">
        <f>SUBTOTAL(9,W4:W263)</f>
        <v>6429</v>
      </c>
      <c r="X264" s="44">
        <f>SUBTOTAL(9,X4:X263)</f>
        <v>6424</v>
      </c>
      <c r="Z264" s="41">
        <f t="shared" si="58"/>
        <v>3.4506519324720777E-2</v>
      </c>
      <c r="AA264" s="41">
        <f>IF(L264&gt;100,IF(W264&lt;1,0,+W264/L264),IF(W264&lt;1,0,+W264/100))</f>
        <v>3.4257360217021894E-2</v>
      </c>
      <c r="AB264" s="41">
        <f>IF(Q264&gt;100,IF(X264&lt;1,0,+X264/Q264),IF(X264&lt;1,0,+X264/100))</f>
        <v>3.3873236373127627E-2</v>
      </c>
      <c r="AD264" s="41">
        <f>(+Z264+(AA264*2)+(AB264*3))/6</f>
        <v>3.4106824813024572E-2</v>
      </c>
    </row>
    <row r="265" spans="1:30" ht="13.5" thickTop="1"/>
    <row r="266" spans="1:30">
      <c r="C266" s="40"/>
      <c r="D266" s="40"/>
      <c r="E266" s="40"/>
      <c r="F266" s="40"/>
      <c r="H266" s="40"/>
      <c r="I266" s="40"/>
      <c r="J266" s="40"/>
      <c r="K266" s="40"/>
      <c r="M266" s="40"/>
      <c r="N266" s="40"/>
      <c r="O266" s="40"/>
      <c r="P266" s="40"/>
    </row>
    <row r="267" spans="1:30"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58"/>
      <c r="N267" s="58"/>
      <c r="O267" s="58"/>
      <c r="P267" s="58"/>
      <c r="Q267" s="40"/>
    </row>
    <row r="268" spans="1:30">
      <c r="C268" s="40"/>
      <c r="D268" s="40"/>
      <c r="E268" s="40"/>
      <c r="F268" s="40"/>
      <c r="H268" s="40"/>
      <c r="I268" s="40"/>
      <c r="J268" s="40"/>
      <c r="K268" s="40"/>
      <c r="M268" s="40"/>
      <c r="N268" s="40"/>
      <c r="O268" s="40"/>
      <c r="P268" s="40"/>
    </row>
    <row r="269" spans="1:30">
      <c r="C269" s="40"/>
      <c r="M269" s="40"/>
    </row>
    <row r="270" spans="1:30"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</row>
    <row r="271" spans="1:30">
      <c r="C271" s="40"/>
      <c r="D271" s="40"/>
      <c r="E271" s="40"/>
      <c r="F271" s="40"/>
      <c r="P271" s="40"/>
    </row>
    <row r="273" spans="13:16">
      <c r="M273" s="40"/>
      <c r="N273" s="40"/>
      <c r="O273" s="40"/>
      <c r="P273" s="40"/>
    </row>
  </sheetData>
  <phoneticPr fontId="8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2018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6"/>
  <sheetViews>
    <sheetView workbookViewId="0">
      <pane xSplit="1" ySplit="3" topLeftCell="B4" activePane="bottomRight" state="frozen"/>
      <selection activeCell="D52" sqref="D52"/>
      <selection pane="topRight" activeCell="D52" sqref="D52"/>
      <selection pane="bottomLeft" activeCell="D52" sqref="D52"/>
      <selection pane="bottomRight" activeCell="A261" sqref="A5:XFD261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52" customWidth="1"/>
    <col min="5" max="6" width="8.5703125" style="52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442</v>
      </c>
      <c r="J1" s="1"/>
      <c r="K1" s="1"/>
      <c r="L1" s="1" t="s">
        <v>477</v>
      </c>
      <c r="M1" s="1"/>
      <c r="N1" s="1"/>
      <c r="O1" s="1"/>
      <c r="P1" s="1" t="s">
        <v>443</v>
      </c>
      <c r="R1" s="1"/>
      <c r="T1" s="1" t="s">
        <v>444</v>
      </c>
      <c r="X1" s="1" t="s">
        <v>445</v>
      </c>
    </row>
    <row r="2" spans="1:29">
      <c r="A2" s="19" t="s">
        <v>460</v>
      </c>
      <c r="B2" s="19"/>
      <c r="D2" s="1" t="s">
        <v>567</v>
      </c>
      <c r="E2" s="1" t="s">
        <v>573</v>
      </c>
      <c r="F2" s="1" t="s">
        <v>575</v>
      </c>
      <c r="G2" s="1"/>
      <c r="H2" s="1"/>
      <c r="I2" s="1" t="s">
        <v>441</v>
      </c>
      <c r="J2" s="1" t="s">
        <v>446</v>
      </c>
      <c r="K2" s="1" t="s">
        <v>2</v>
      </c>
      <c r="L2" s="1" t="s">
        <v>441</v>
      </c>
      <c r="M2" s="1" t="s">
        <v>454</v>
      </c>
      <c r="N2" s="1"/>
      <c r="O2" s="1"/>
      <c r="P2" s="1" t="s">
        <v>441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458</v>
      </c>
      <c r="B3" s="11" t="s">
        <v>459</v>
      </c>
      <c r="C3" s="11"/>
      <c r="D3" s="11" t="s">
        <v>448</v>
      </c>
      <c r="E3" s="11" t="s">
        <v>448</v>
      </c>
      <c r="F3" s="11" t="s">
        <v>448</v>
      </c>
      <c r="G3" s="11" t="s">
        <v>467</v>
      </c>
      <c r="H3" s="11"/>
      <c r="I3" s="11" t="s">
        <v>448</v>
      </c>
      <c r="J3" s="11" t="s">
        <v>449</v>
      </c>
      <c r="K3" s="11" t="s">
        <v>476</v>
      </c>
      <c r="L3" s="11" t="s">
        <v>448</v>
      </c>
      <c r="M3" s="11" t="s">
        <v>455</v>
      </c>
      <c r="N3" s="11"/>
      <c r="O3" s="11"/>
      <c r="P3" s="11" t="s">
        <v>448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450</v>
      </c>
      <c r="Y3" s="11"/>
      <c r="Z3" s="11" t="s">
        <v>451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515</v>
      </c>
      <c r="D5" s="42">
        <v>2</v>
      </c>
      <c r="E5" s="42">
        <v>1</v>
      </c>
      <c r="F5" s="42">
        <v>2</v>
      </c>
      <c r="G5">
        <f t="shared" ref="G5:G55" si="0">SUM(D5:F5)</f>
        <v>5</v>
      </c>
      <c r="I5" s="22">
        <f>AVERAGE(D5:F5)</f>
        <v>1.6666666666666667</v>
      </c>
      <c r="J5" s="6">
        <f>+IFR!AD5</f>
        <v>3.4332768569411806E-3</v>
      </c>
      <c r="K5" s="14">
        <f t="shared" ref="K5:K36" si="1">IF(+J5&lt;$E$267,$I$267,IF(J5&gt;$E$269,$I$269,$I$268))</f>
        <v>0.95</v>
      </c>
      <c r="L5" s="22">
        <f>+I5*K5</f>
        <v>1.5833333333333333</v>
      </c>
      <c r="M5" s="14">
        <v>1</v>
      </c>
      <c r="N5" s="14">
        <v>1</v>
      </c>
      <c r="P5" s="22">
        <f t="shared" ref="P5:P55" si="2">+L5*M5*N5</f>
        <v>1.5833333333333333</v>
      </c>
      <c r="R5" s="3">
        <f t="shared" ref="R5:R36" si="3">+P5/$P$264</f>
        <v>2.4742225081323798E-4</v>
      </c>
      <c r="T5" s="5">
        <f>+R5*(assessment!$J$272*assessment!$E$3)</f>
        <v>1914.289680714608</v>
      </c>
      <c r="V5" s="6">
        <f>+T5/payroll!F5</f>
        <v>7.4036745454307001E-5</v>
      </c>
      <c r="X5" s="5">
        <f>IF(V5&lt;$X$2,T5, +payroll!F5 * $X$2)</f>
        <v>1914.289680714608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516</v>
      </c>
      <c r="D6" s="42">
        <v>0</v>
      </c>
      <c r="E6" s="42">
        <v>0</v>
      </c>
      <c r="F6" s="42">
        <v>0</v>
      </c>
      <c r="G6">
        <f t="shared" si="0"/>
        <v>0</v>
      </c>
      <c r="I6" s="22">
        <f t="shared" ref="I6:I55" si="6">AVERAGE(D6:F6)</f>
        <v>0</v>
      </c>
      <c r="J6" s="6">
        <f>+IFR!AD6</f>
        <v>0</v>
      </c>
      <c r="K6" s="14">
        <f t="shared" si="1"/>
        <v>0.95</v>
      </c>
      <c r="L6" s="22">
        <f t="shared" ref="L6:L55" si="7">+I6*K6</f>
        <v>0</v>
      </c>
      <c r="M6" s="14">
        <v>1</v>
      </c>
      <c r="N6" s="14">
        <v>1</v>
      </c>
      <c r="P6" s="22">
        <f t="shared" si="2"/>
        <v>0</v>
      </c>
      <c r="R6" s="3">
        <f t="shared" si="3"/>
        <v>0</v>
      </c>
      <c r="T6" s="5">
        <f>+R6*(assessment!$J$272*assessment!$E$3)</f>
        <v>0</v>
      </c>
      <c r="V6" s="6">
        <f>+T6/payroll!F6</f>
        <v>0</v>
      </c>
      <c r="X6" s="5">
        <f>IF(V6&lt;$X$2,T6, +payroll!F6 * $X$2)</f>
        <v>0</v>
      </c>
      <c r="Z6" s="5">
        <f t="shared" si="4"/>
        <v>0</v>
      </c>
      <c r="AB6" t="e">
        <f t="shared" si="5"/>
        <v>#DIV/0!</v>
      </c>
    </row>
    <row r="7" spans="1:29">
      <c r="A7" t="s">
        <v>9</v>
      </c>
      <c r="B7" t="s">
        <v>10</v>
      </c>
      <c r="D7" s="42">
        <v>2</v>
      </c>
      <c r="E7" s="42">
        <v>1</v>
      </c>
      <c r="F7" s="42">
        <v>0</v>
      </c>
      <c r="G7">
        <f t="shared" si="0"/>
        <v>3</v>
      </c>
      <c r="I7" s="22">
        <f t="shared" si="6"/>
        <v>1</v>
      </c>
      <c r="J7" s="6">
        <f>+IFR!AD7</f>
        <v>1.6446654163775754E-3</v>
      </c>
      <c r="K7" s="14">
        <f t="shared" si="1"/>
        <v>0.95</v>
      </c>
      <c r="L7" s="22">
        <f t="shared" si="7"/>
        <v>0.95</v>
      </c>
      <c r="M7" s="14">
        <v>1</v>
      </c>
      <c r="N7" s="14">
        <v>1</v>
      </c>
      <c r="P7" s="22">
        <f t="shared" si="2"/>
        <v>0.95</v>
      </c>
      <c r="R7" s="3">
        <f t="shared" si="3"/>
        <v>1.4845335048794281E-4</v>
      </c>
      <c r="T7" s="5">
        <f>+R7*(assessment!$J$272*assessment!$E$3)</f>
        <v>1148.573808428765</v>
      </c>
      <c r="V7" s="6">
        <f>+T7/payroll!F7</f>
        <v>4.4304088479050632E-5</v>
      </c>
      <c r="X7" s="5">
        <f>IF(V7&lt;$X$2,T7, +payroll!F7 * $X$2)</f>
        <v>1148.573808428765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42">
        <v>0</v>
      </c>
      <c r="E8" s="42">
        <v>1</v>
      </c>
      <c r="F8" s="42">
        <v>0</v>
      </c>
      <c r="G8">
        <f t="shared" si="0"/>
        <v>1</v>
      </c>
      <c r="I8" s="22">
        <f t="shared" si="6"/>
        <v>0.33333333333333331</v>
      </c>
      <c r="J8" s="6">
        <f>+IFR!AD8</f>
        <v>2.2560631697687533E-3</v>
      </c>
      <c r="K8" s="14">
        <f t="shared" si="1"/>
        <v>0.95</v>
      </c>
      <c r="L8" s="22">
        <f t="shared" si="7"/>
        <v>0.31666666666666665</v>
      </c>
      <c r="M8" s="14">
        <v>1</v>
      </c>
      <c r="N8" s="14">
        <v>1</v>
      </c>
      <c r="P8" s="22">
        <f t="shared" si="2"/>
        <v>0.31666666666666665</v>
      </c>
      <c r="R8" s="3">
        <f t="shared" si="3"/>
        <v>4.9484450162647599E-5</v>
      </c>
      <c r="T8" s="5">
        <f>+R8*(assessment!$J$272*assessment!$E$3)</f>
        <v>382.85793614292163</v>
      </c>
      <c r="V8" s="6">
        <f>+T8/payroll!F8</f>
        <v>2.8291652482461802E-5</v>
      </c>
      <c r="X8" s="5">
        <f>IF(V8&lt;$X$2,T8, +payroll!F8 * $X$2)</f>
        <v>382.85793614292163</v>
      </c>
      <c r="Z8" s="5">
        <f t="shared" si="4"/>
        <v>0</v>
      </c>
      <c r="AB8">
        <f t="shared" si="5"/>
        <v>1</v>
      </c>
    </row>
    <row r="9" spans="1:29">
      <c r="A9" t="s">
        <v>13</v>
      </c>
      <c r="B9" t="s">
        <v>14</v>
      </c>
      <c r="D9" s="42">
        <v>1</v>
      </c>
      <c r="E9" s="42">
        <v>0</v>
      </c>
      <c r="F9" s="42">
        <v>0</v>
      </c>
      <c r="G9">
        <f t="shared" si="0"/>
        <v>1</v>
      </c>
      <c r="I9" s="22">
        <f t="shared" si="6"/>
        <v>0.33333333333333331</v>
      </c>
      <c r="J9" s="6">
        <f>+IFR!AD9</f>
        <v>1.6666666666666668E-3</v>
      </c>
      <c r="K9" s="14">
        <f t="shared" si="1"/>
        <v>0.95</v>
      </c>
      <c r="L9" s="22">
        <f t="shared" si="7"/>
        <v>0.31666666666666665</v>
      </c>
      <c r="M9" s="14">
        <v>1</v>
      </c>
      <c r="N9" s="14">
        <v>1</v>
      </c>
      <c r="P9" s="22">
        <f t="shared" si="2"/>
        <v>0.31666666666666665</v>
      </c>
      <c r="R9" s="3">
        <f t="shared" si="3"/>
        <v>4.9484450162647599E-5</v>
      </c>
      <c r="T9" s="5">
        <f>+R9*(assessment!$J$272*assessment!$E$3)</f>
        <v>382.85793614292163</v>
      </c>
      <c r="V9" s="6">
        <f>+T9/payroll!F9</f>
        <v>2.8413940177850948E-4</v>
      </c>
      <c r="X9" s="5">
        <f>IF(V9&lt;$X$2,T9, +payroll!F9 * $X$2)</f>
        <v>382.85793614292163</v>
      </c>
      <c r="Z9" s="5">
        <f t="shared" si="4"/>
        <v>0</v>
      </c>
      <c r="AB9">
        <f t="shared" si="5"/>
        <v>1</v>
      </c>
    </row>
    <row r="10" spans="1:29">
      <c r="A10" t="s">
        <v>15</v>
      </c>
      <c r="B10" t="s">
        <v>16</v>
      </c>
      <c r="D10" s="42">
        <v>1</v>
      </c>
      <c r="E10" s="42">
        <v>0</v>
      </c>
      <c r="F10" s="42">
        <v>0</v>
      </c>
      <c r="G10">
        <f t="shared" si="0"/>
        <v>1</v>
      </c>
      <c r="I10" s="22">
        <f t="shared" si="6"/>
        <v>0.33333333333333331</v>
      </c>
      <c r="J10" s="6">
        <f>+IFR!AD10</f>
        <v>1.6666666666666668E-3</v>
      </c>
      <c r="K10" s="14">
        <f t="shared" si="1"/>
        <v>0.95</v>
      </c>
      <c r="L10" s="22">
        <f t="shared" si="7"/>
        <v>0.31666666666666665</v>
      </c>
      <c r="M10" s="14">
        <v>1</v>
      </c>
      <c r="N10" s="14">
        <v>1</v>
      </c>
      <c r="P10" s="22">
        <f t="shared" si="2"/>
        <v>0.31666666666666665</v>
      </c>
      <c r="R10" s="3">
        <f t="shared" si="3"/>
        <v>4.9484450162647599E-5</v>
      </c>
      <c r="T10" s="5">
        <f>+R10*(assessment!$J$272*assessment!$E$3)</f>
        <v>382.85793614292163</v>
      </c>
      <c r="V10" s="6">
        <f>+T10/payroll!F10</f>
        <v>1.7442996608050485E-4</v>
      </c>
      <c r="X10" s="5">
        <f>IF(V10&lt;$X$2,T10, +payroll!F10 * $X$2)</f>
        <v>382.85793614292163</v>
      </c>
      <c r="Z10" s="5">
        <f t="shared" si="4"/>
        <v>0</v>
      </c>
      <c r="AB10">
        <f t="shared" si="5"/>
        <v>1</v>
      </c>
    </row>
    <row r="11" spans="1:29">
      <c r="A11" t="s">
        <v>17</v>
      </c>
      <c r="B11" t="s">
        <v>18</v>
      </c>
      <c r="D11" s="42">
        <v>0</v>
      </c>
      <c r="E11" s="42">
        <v>0</v>
      </c>
      <c r="F11" s="42">
        <v>0</v>
      </c>
      <c r="G11">
        <f t="shared" si="0"/>
        <v>0</v>
      </c>
      <c r="I11" s="22">
        <f t="shared" si="6"/>
        <v>0</v>
      </c>
      <c r="J11" s="6">
        <f>+IFR!AD11</f>
        <v>0</v>
      </c>
      <c r="K11" s="14">
        <f t="shared" si="1"/>
        <v>0.95</v>
      </c>
      <c r="L11" s="22">
        <f t="shared" si="7"/>
        <v>0</v>
      </c>
      <c r="M11" s="14">
        <v>1</v>
      </c>
      <c r="N11" s="14">
        <v>1</v>
      </c>
      <c r="P11" s="22">
        <f t="shared" si="2"/>
        <v>0</v>
      </c>
      <c r="R11" s="3">
        <f t="shared" si="3"/>
        <v>0</v>
      </c>
      <c r="T11" s="5">
        <f>+R11*(assessment!$J$272*assessment!$E$3)</f>
        <v>0</v>
      </c>
      <c r="V11" s="6">
        <f>+T11/payroll!F11</f>
        <v>0</v>
      </c>
      <c r="X11" s="5">
        <f>IF(V11&lt;$X$2,T11, +payroll!F11 * $X$2)</f>
        <v>0</v>
      </c>
      <c r="Z11" s="5">
        <f t="shared" si="4"/>
        <v>0</v>
      </c>
      <c r="AB11" t="e">
        <f t="shared" si="5"/>
        <v>#DIV/0!</v>
      </c>
    </row>
    <row r="12" spans="1:29">
      <c r="A12" t="s">
        <v>19</v>
      </c>
      <c r="B12" t="s">
        <v>20</v>
      </c>
      <c r="D12" s="42">
        <v>0</v>
      </c>
      <c r="E12" s="42">
        <v>0</v>
      </c>
      <c r="F12" s="42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+R12*(assessment!$J$272*assessment!$E$3)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42">
        <v>0</v>
      </c>
      <c r="E13" s="42">
        <v>0</v>
      </c>
      <c r="F13" s="42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+R13*(assessment!$J$272*assessment!$E$3)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42">
        <v>1</v>
      </c>
      <c r="E14" s="42">
        <v>1</v>
      </c>
      <c r="F14" s="42">
        <v>0</v>
      </c>
      <c r="G14">
        <f t="shared" si="0"/>
        <v>2</v>
      </c>
      <c r="I14" s="22">
        <f t="shared" si="6"/>
        <v>0.66666666666666663</v>
      </c>
      <c r="J14" s="6">
        <f>+IFR!AD14</f>
        <v>2.353423729092302E-3</v>
      </c>
      <c r="K14" s="14">
        <f t="shared" si="1"/>
        <v>0.95</v>
      </c>
      <c r="L14" s="22">
        <f t="shared" si="7"/>
        <v>0.6333333333333333</v>
      </c>
      <c r="M14" s="14">
        <v>1</v>
      </c>
      <c r="N14" s="14">
        <v>1</v>
      </c>
      <c r="P14" s="22">
        <f t="shared" si="2"/>
        <v>0.6333333333333333</v>
      </c>
      <c r="R14" s="3">
        <f t="shared" si="3"/>
        <v>9.8968900325295198E-5</v>
      </c>
      <c r="T14" s="5">
        <f>+R14*(assessment!$J$272*assessment!$E$3)</f>
        <v>765.71587228584326</v>
      </c>
      <c r="V14" s="6">
        <f>+T14/payroll!F14</f>
        <v>4.6947252329778406E-5</v>
      </c>
      <c r="X14" s="5">
        <f>IF(V14&lt;$X$2,T14, +payroll!F14 * $X$2)</f>
        <v>765.71587228584326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42">
        <v>0</v>
      </c>
      <c r="E15" s="42">
        <v>0</v>
      </c>
      <c r="F15" s="42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+R15*(assessment!$J$272*assessment!$E$3)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548</v>
      </c>
      <c r="B16" t="s">
        <v>549</v>
      </c>
      <c r="D16" s="42">
        <v>0</v>
      </c>
      <c r="E16" s="42">
        <v>0</v>
      </c>
      <c r="F16" s="42">
        <v>0</v>
      </c>
      <c r="G16">
        <f>SUM(D16:F16)</f>
        <v>0</v>
      </c>
      <c r="I16" s="22">
        <f>AVERAGE(D16:F16)</f>
        <v>0</v>
      </c>
      <c r="J16" s="6">
        <f>+IFR!AD16</f>
        <v>0</v>
      </c>
      <c r="K16" s="14">
        <f t="shared" si="1"/>
        <v>0.95</v>
      </c>
      <c r="L16" s="22">
        <f>+I16*K16</f>
        <v>0</v>
      </c>
      <c r="M16" s="14">
        <v>1</v>
      </c>
      <c r="N16" s="14">
        <v>1</v>
      </c>
      <c r="P16" s="22">
        <f>+L16*M16*N16</f>
        <v>0</v>
      </c>
      <c r="R16" s="3">
        <f t="shared" si="3"/>
        <v>0</v>
      </c>
      <c r="T16" s="5">
        <f>+R16*(assessment!$J$272*assessment!$E$3)</f>
        <v>0</v>
      </c>
      <c r="V16" s="6">
        <f>+T16/payroll!F16</f>
        <v>0</v>
      </c>
      <c r="X16" s="5">
        <f>IF(V16&lt;$X$2,T16, +payroll!F16 * $X$2)</f>
        <v>0</v>
      </c>
      <c r="Z16" s="5">
        <f>+T16-X16</f>
        <v>0</v>
      </c>
      <c r="AB16" t="e">
        <f>+X16/T16</f>
        <v>#DIV/0!</v>
      </c>
    </row>
    <row r="17" spans="1:28">
      <c r="A17" t="s">
        <v>27</v>
      </c>
      <c r="B17" t="s">
        <v>517</v>
      </c>
      <c r="D17" s="42">
        <v>0</v>
      </c>
      <c r="E17" s="42">
        <v>0</v>
      </c>
      <c r="F17" s="42">
        <v>0</v>
      </c>
      <c r="G17">
        <f t="shared" si="0"/>
        <v>0</v>
      </c>
      <c r="I17" s="22">
        <f t="shared" si="6"/>
        <v>0</v>
      </c>
      <c r="J17" s="6">
        <f>+IFR!AD17</f>
        <v>0</v>
      </c>
      <c r="K17" s="14">
        <f t="shared" si="1"/>
        <v>0.95</v>
      </c>
      <c r="L17" s="22">
        <f t="shared" si="7"/>
        <v>0</v>
      </c>
      <c r="M17" s="14">
        <v>1</v>
      </c>
      <c r="N17" s="14">
        <v>1</v>
      </c>
      <c r="P17" s="22">
        <f t="shared" si="2"/>
        <v>0</v>
      </c>
      <c r="R17" s="3">
        <f t="shared" si="3"/>
        <v>0</v>
      </c>
      <c r="T17" s="5">
        <f>+R17*(assessment!$J$272*assessment!$E$3)</f>
        <v>0</v>
      </c>
      <c r="V17" s="6">
        <f>+T17/payroll!F17</f>
        <v>0</v>
      </c>
      <c r="X17" s="5">
        <f>IF(V17&lt;$X$2,T17, +payroll!F17 * $X$2)</f>
        <v>0</v>
      </c>
      <c r="Z17" s="5">
        <f t="shared" si="4"/>
        <v>0</v>
      </c>
      <c r="AB17" t="e">
        <f t="shared" si="5"/>
        <v>#DIV/0!</v>
      </c>
    </row>
    <row r="18" spans="1:28">
      <c r="A18" t="s">
        <v>28</v>
      </c>
      <c r="B18" t="s">
        <v>518</v>
      </c>
      <c r="D18" s="42">
        <v>0</v>
      </c>
      <c r="E18" s="42">
        <v>1</v>
      </c>
      <c r="F18" s="42">
        <v>0</v>
      </c>
      <c r="G18">
        <f t="shared" si="0"/>
        <v>1</v>
      </c>
      <c r="I18" s="22">
        <f t="shared" si="6"/>
        <v>0.33333333333333331</v>
      </c>
      <c r="J18" s="6">
        <f>+IFR!AD18</f>
        <v>3.3333333333333335E-3</v>
      </c>
      <c r="K18" s="14">
        <f t="shared" si="1"/>
        <v>0.95</v>
      </c>
      <c r="L18" s="22">
        <f t="shared" si="7"/>
        <v>0.31666666666666665</v>
      </c>
      <c r="M18" s="14">
        <v>1</v>
      </c>
      <c r="N18" s="14">
        <v>1</v>
      </c>
      <c r="P18" s="22">
        <f t="shared" si="2"/>
        <v>0.31666666666666665</v>
      </c>
      <c r="R18" s="3">
        <f t="shared" si="3"/>
        <v>4.9484450162647599E-5</v>
      </c>
      <c r="T18" s="5">
        <f>+R18*(assessment!$J$272*assessment!$E$3)</f>
        <v>382.85793614292163</v>
      </c>
      <c r="V18" s="6">
        <f>+T18/payroll!F18</f>
        <v>1.1874098279671733E-4</v>
      </c>
      <c r="X18" s="5">
        <f>IF(V18&lt;$X$2,T18, +payroll!F18 * $X$2)</f>
        <v>382.85793614292163</v>
      </c>
      <c r="Z18" s="5">
        <f t="shared" si="4"/>
        <v>0</v>
      </c>
      <c r="AB18">
        <f t="shared" si="5"/>
        <v>1</v>
      </c>
    </row>
    <row r="19" spans="1:28">
      <c r="A19" t="s">
        <v>29</v>
      </c>
      <c r="B19" t="s">
        <v>519</v>
      </c>
      <c r="D19" s="42">
        <v>1</v>
      </c>
      <c r="E19" s="42">
        <v>0</v>
      </c>
      <c r="F19" s="42">
        <v>0</v>
      </c>
      <c r="G19">
        <f t="shared" si="0"/>
        <v>1</v>
      </c>
      <c r="I19" s="22">
        <f t="shared" si="6"/>
        <v>0.33333333333333331</v>
      </c>
      <c r="J19" s="6">
        <f>+IFR!AD19</f>
        <v>1.6666666666666668E-3</v>
      </c>
      <c r="K19" s="14">
        <f t="shared" si="1"/>
        <v>0.95</v>
      </c>
      <c r="L19" s="22">
        <f t="shared" si="7"/>
        <v>0.31666666666666665</v>
      </c>
      <c r="M19" s="14">
        <v>1</v>
      </c>
      <c r="N19" s="14">
        <v>1</v>
      </c>
      <c r="P19" s="22">
        <f t="shared" si="2"/>
        <v>0.31666666666666665</v>
      </c>
      <c r="R19" s="3">
        <f t="shared" si="3"/>
        <v>4.9484450162647599E-5</v>
      </c>
      <c r="T19" s="5">
        <f>+R19*(assessment!$J$272*assessment!$E$3)</f>
        <v>382.85793614292163</v>
      </c>
      <c r="V19" s="6">
        <f>+T19/payroll!F19</f>
        <v>1.2840886161250855E-4</v>
      </c>
      <c r="X19" s="5">
        <f>IF(V19&lt;$X$2,T19, +payroll!F19 * $X$2)</f>
        <v>382.85793614292163</v>
      </c>
      <c r="Z19" s="5">
        <f t="shared" si="4"/>
        <v>0</v>
      </c>
      <c r="AB19">
        <f t="shared" si="5"/>
        <v>1</v>
      </c>
    </row>
    <row r="20" spans="1:28">
      <c r="A20" t="s">
        <v>30</v>
      </c>
      <c r="B20" t="s">
        <v>520</v>
      </c>
      <c r="D20" s="42">
        <v>0</v>
      </c>
      <c r="E20" s="42">
        <v>0</v>
      </c>
      <c r="F20" s="42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+R20*(assessment!$J$272*assessment!$E$3)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521</v>
      </c>
      <c r="D21" s="42">
        <v>0</v>
      </c>
      <c r="E21" s="42">
        <v>0</v>
      </c>
      <c r="F21" s="42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+R21*(assessment!$J$272*assessment!$E$3)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522</v>
      </c>
      <c r="D22" s="42">
        <v>0</v>
      </c>
      <c r="E22" s="42">
        <v>0</v>
      </c>
      <c r="F22" s="42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+R22*(assessment!$J$272*assessment!$E$3)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523</v>
      </c>
      <c r="D23" s="42">
        <v>1</v>
      </c>
      <c r="E23" s="42">
        <v>0</v>
      </c>
      <c r="F23" s="42">
        <v>0</v>
      </c>
      <c r="G23">
        <f t="shared" si="0"/>
        <v>1</v>
      </c>
      <c r="I23" s="22">
        <f t="shared" si="6"/>
        <v>0.33333333333333331</v>
      </c>
      <c r="J23" s="6">
        <f>+IFR!AD23</f>
        <v>1.6666666666666668E-3</v>
      </c>
      <c r="K23" s="14">
        <f t="shared" si="1"/>
        <v>0.95</v>
      </c>
      <c r="L23" s="22">
        <f t="shared" si="7"/>
        <v>0.31666666666666665</v>
      </c>
      <c r="M23" s="14">
        <v>1</v>
      </c>
      <c r="N23" s="14">
        <v>1</v>
      </c>
      <c r="P23" s="22">
        <f t="shared" si="2"/>
        <v>0.31666666666666665</v>
      </c>
      <c r="R23" s="3">
        <f t="shared" si="3"/>
        <v>4.9484450162647599E-5</v>
      </c>
      <c r="T23" s="5">
        <f>+R23*(assessment!$J$272*assessment!$E$3)</f>
        <v>382.85793614292163</v>
      </c>
      <c r="V23" s="6">
        <f>+T23/payroll!F23</f>
        <v>2.1917426598148555E-4</v>
      </c>
      <c r="X23" s="5">
        <f>IF(V23&lt;$X$2,T23, +payroll!F23 * $X$2)</f>
        <v>382.85793614292163</v>
      </c>
      <c r="Z23" s="5">
        <f t="shared" si="4"/>
        <v>0</v>
      </c>
      <c r="AB23">
        <f t="shared" si="5"/>
        <v>1</v>
      </c>
    </row>
    <row r="24" spans="1:28">
      <c r="A24" t="s">
        <v>34</v>
      </c>
      <c r="B24" t="s">
        <v>524</v>
      </c>
      <c r="D24" s="42">
        <v>0</v>
      </c>
      <c r="E24" s="42">
        <v>0</v>
      </c>
      <c r="F24" s="42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+R24*(assessment!$J$272*assessment!$E$3)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525</v>
      </c>
      <c r="D25" s="42">
        <v>0</v>
      </c>
      <c r="E25" s="42">
        <v>0</v>
      </c>
      <c r="F25" s="42">
        <v>0</v>
      </c>
      <c r="G25">
        <f t="shared" si="0"/>
        <v>0</v>
      </c>
      <c r="I25" s="22">
        <f t="shared" si="6"/>
        <v>0</v>
      </c>
      <c r="J25" s="6">
        <f>+IFR!AD25</f>
        <v>0</v>
      </c>
      <c r="K25" s="14">
        <f t="shared" si="1"/>
        <v>0.95</v>
      </c>
      <c r="L25" s="22">
        <f t="shared" si="7"/>
        <v>0</v>
      </c>
      <c r="M25" s="14">
        <v>1</v>
      </c>
      <c r="N25" s="14">
        <v>1</v>
      </c>
      <c r="P25" s="22">
        <f t="shared" si="2"/>
        <v>0</v>
      </c>
      <c r="R25" s="3">
        <f t="shared" si="3"/>
        <v>0</v>
      </c>
      <c r="T25" s="5">
        <f>+R25*(assessment!$J$272*assessment!$E$3)</f>
        <v>0</v>
      </c>
      <c r="V25" s="6">
        <f>+T25/payroll!F25</f>
        <v>0</v>
      </c>
      <c r="X25" s="5">
        <f>IF(V25&lt;$X$2,T25, +payroll!F25 * $X$2)</f>
        <v>0</v>
      </c>
      <c r="Z25" s="5">
        <f t="shared" si="4"/>
        <v>0</v>
      </c>
      <c r="AB25" t="e">
        <f t="shared" si="5"/>
        <v>#DIV/0!</v>
      </c>
    </row>
    <row r="26" spans="1:28">
      <c r="A26" t="s">
        <v>36</v>
      </c>
      <c r="B26" t="s">
        <v>526</v>
      </c>
      <c r="D26" s="42">
        <v>0</v>
      </c>
      <c r="E26" s="42">
        <v>0</v>
      </c>
      <c r="F26" s="42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+R26*(assessment!$J$272*assessment!$E$3)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527</v>
      </c>
      <c r="D27" s="42">
        <v>1</v>
      </c>
      <c r="E27" s="42">
        <v>0</v>
      </c>
      <c r="F27" s="42">
        <v>0</v>
      </c>
      <c r="G27">
        <f t="shared" si="0"/>
        <v>1</v>
      </c>
      <c r="I27" s="22">
        <f t="shared" si="6"/>
        <v>0.33333333333333331</v>
      </c>
      <c r="J27" s="6">
        <f>+IFR!AD27</f>
        <v>1.6666666666666668E-3</v>
      </c>
      <c r="K27" s="14">
        <f t="shared" si="1"/>
        <v>0.95</v>
      </c>
      <c r="L27" s="22">
        <f t="shared" si="7"/>
        <v>0.31666666666666665</v>
      </c>
      <c r="M27" s="14">
        <v>1</v>
      </c>
      <c r="N27" s="14">
        <v>1</v>
      </c>
      <c r="P27" s="22">
        <f t="shared" si="2"/>
        <v>0.31666666666666665</v>
      </c>
      <c r="R27" s="3">
        <f t="shared" si="3"/>
        <v>4.9484450162647599E-5</v>
      </c>
      <c r="T27" s="5">
        <f>+R27*(assessment!$J$272*assessment!$E$3)</f>
        <v>382.85793614292163</v>
      </c>
      <c r="V27" s="6">
        <f>+T27/payroll!F27</f>
        <v>2.6718233003189225E-4</v>
      </c>
      <c r="X27" s="5">
        <f>IF(V27&lt;$X$2,T27, +payroll!F27 * $X$2)</f>
        <v>382.85793614292163</v>
      </c>
      <c r="Z27" s="5">
        <f t="shared" si="4"/>
        <v>0</v>
      </c>
      <c r="AB27">
        <f t="shared" si="5"/>
        <v>1</v>
      </c>
    </row>
    <row r="28" spans="1:28">
      <c r="A28" t="s">
        <v>38</v>
      </c>
      <c r="B28" t="s">
        <v>528</v>
      </c>
      <c r="D28" s="42">
        <v>0</v>
      </c>
      <c r="E28" s="42">
        <v>0</v>
      </c>
      <c r="F28" s="42">
        <v>0</v>
      </c>
      <c r="G28">
        <f t="shared" si="0"/>
        <v>0</v>
      </c>
      <c r="I28" s="22">
        <f t="shared" si="6"/>
        <v>0</v>
      </c>
      <c r="J28" s="6">
        <f>+IFR!AD28</f>
        <v>0</v>
      </c>
      <c r="K28" s="14">
        <f t="shared" si="1"/>
        <v>0.95</v>
      </c>
      <c r="L28" s="22">
        <f t="shared" si="7"/>
        <v>0</v>
      </c>
      <c r="M28" s="14">
        <v>1</v>
      </c>
      <c r="N28" s="14">
        <v>1</v>
      </c>
      <c r="P28" s="22">
        <f t="shared" si="2"/>
        <v>0</v>
      </c>
      <c r="R28" s="3">
        <f t="shared" si="3"/>
        <v>0</v>
      </c>
      <c r="T28" s="5">
        <f>+R28*(assessment!$J$272*assessment!$E$3)</f>
        <v>0</v>
      </c>
      <c r="V28" s="6">
        <f>+T28/payroll!F28</f>
        <v>0</v>
      </c>
      <c r="X28" s="5">
        <f>IF(V28&lt;$X$2,T28, +payroll!F28 * $X$2)</f>
        <v>0</v>
      </c>
      <c r="Z28" s="5">
        <f t="shared" si="4"/>
        <v>0</v>
      </c>
      <c r="AB28" t="e">
        <f t="shared" si="5"/>
        <v>#DIV/0!</v>
      </c>
    </row>
    <row r="29" spans="1:28">
      <c r="A29" t="s">
        <v>39</v>
      </c>
      <c r="B29" t="s">
        <v>529</v>
      </c>
      <c r="D29" s="42">
        <v>0</v>
      </c>
      <c r="E29" s="42">
        <v>0</v>
      </c>
      <c r="F29" s="42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+R29*(assessment!$J$272*assessment!$E$3)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530</v>
      </c>
      <c r="D30" s="42">
        <v>0</v>
      </c>
      <c r="E30" s="42">
        <v>2</v>
      </c>
      <c r="F30" s="42">
        <v>0</v>
      </c>
      <c r="G30">
        <f t="shared" si="0"/>
        <v>2</v>
      </c>
      <c r="I30" s="22">
        <f t="shared" si="6"/>
        <v>0.66666666666666663</v>
      </c>
      <c r="J30" s="6">
        <f>+IFR!AD30</f>
        <v>6.6666666666666671E-3</v>
      </c>
      <c r="K30" s="14">
        <f t="shared" si="1"/>
        <v>0.95</v>
      </c>
      <c r="L30" s="22">
        <f t="shared" si="7"/>
        <v>0.6333333333333333</v>
      </c>
      <c r="M30" s="14">
        <v>1</v>
      </c>
      <c r="N30" s="14">
        <v>1</v>
      </c>
      <c r="P30" s="22">
        <f t="shared" si="2"/>
        <v>0.6333333333333333</v>
      </c>
      <c r="R30" s="3">
        <f t="shared" si="3"/>
        <v>9.8968900325295198E-5</v>
      </c>
      <c r="T30" s="5">
        <f>+R30*(assessment!$J$272*assessment!$E$3)</f>
        <v>765.71587228584326</v>
      </c>
      <c r="V30" s="6">
        <f>+T30/payroll!F30</f>
        <v>1.7173169877940291E-4</v>
      </c>
      <c r="X30" s="5">
        <f>IF(V30&lt;$X$2,T30, +payroll!F30 * $X$2)</f>
        <v>765.71587228584326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531</v>
      </c>
      <c r="D31" s="42">
        <v>0</v>
      </c>
      <c r="E31" s="42">
        <v>0</v>
      </c>
      <c r="F31" s="42">
        <v>2</v>
      </c>
      <c r="G31">
        <f t="shared" si="0"/>
        <v>2</v>
      </c>
      <c r="I31" s="22">
        <f t="shared" si="6"/>
        <v>0.66666666666666663</v>
      </c>
      <c r="J31" s="6">
        <f>+IFR!AD31</f>
        <v>1.5945148688511518E-3</v>
      </c>
      <c r="K31" s="14">
        <f t="shared" si="1"/>
        <v>0.95</v>
      </c>
      <c r="L31" s="22">
        <f t="shared" si="7"/>
        <v>0.6333333333333333</v>
      </c>
      <c r="M31" s="14">
        <v>1</v>
      </c>
      <c r="N31" s="14">
        <v>1</v>
      </c>
      <c r="P31" s="22">
        <f t="shared" si="2"/>
        <v>0.6333333333333333</v>
      </c>
      <c r="R31" s="3">
        <f t="shared" si="3"/>
        <v>9.8968900325295198E-5</v>
      </c>
      <c r="T31" s="5">
        <f>+R31*(assessment!$J$272*assessment!$E$3)</f>
        <v>765.71587228584326</v>
      </c>
      <c r="V31" s="6">
        <f>+T31/payroll!F31</f>
        <v>8.3028676323637694E-6</v>
      </c>
      <c r="X31" s="5">
        <f>IF(V31&lt;$X$2,T31, +payroll!F31 * $X$2)</f>
        <v>765.71587228584326</v>
      </c>
      <c r="Z31" s="5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42">
        <v>0</v>
      </c>
      <c r="E32" s="42">
        <v>0</v>
      </c>
      <c r="F32" s="42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+R32*(assessment!$J$272*assessment!$E$3)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42">
        <v>0</v>
      </c>
      <c r="E33" s="42">
        <v>0</v>
      </c>
      <c r="F33" s="42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+R33*(assessment!$J$272*assessment!$E$3)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42">
        <v>1</v>
      </c>
      <c r="E34" s="42">
        <v>0</v>
      </c>
      <c r="F34" s="42">
        <v>3</v>
      </c>
      <c r="G34">
        <f t="shared" si="0"/>
        <v>4</v>
      </c>
      <c r="I34" s="22">
        <f t="shared" si="6"/>
        <v>1.3333333333333333</v>
      </c>
      <c r="J34" s="6">
        <f>+IFR!AD34</f>
        <v>6.6029662301756338E-3</v>
      </c>
      <c r="K34" s="14">
        <f t="shared" si="1"/>
        <v>0.95</v>
      </c>
      <c r="L34" s="22">
        <f t="shared" si="7"/>
        <v>1.2666666666666666</v>
      </c>
      <c r="M34" s="14">
        <v>1</v>
      </c>
      <c r="N34" s="14">
        <v>1</v>
      </c>
      <c r="P34" s="22">
        <f t="shared" si="2"/>
        <v>1.2666666666666666</v>
      </c>
      <c r="R34" s="3">
        <f t="shared" si="3"/>
        <v>1.979378006505904E-4</v>
      </c>
      <c r="T34" s="5">
        <f>+R34*(assessment!$J$272*assessment!$E$3)</f>
        <v>1531.4317445716865</v>
      </c>
      <c r="V34" s="6">
        <f>+T34/payroll!F34</f>
        <v>8.4879178139271859E-5</v>
      </c>
      <c r="X34" s="5">
        <f>IF(V34&lt;$X$2,T34, +payroll!F34 * $X$2)</f>
        <v>1531.4317445716865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42">
        <v>20</v>
      </c>
      <c r="E35" s="42">
        <v>15</v>
      </c>
      <c r="F35" s="42">
        <v>21</v>
      </c>
      <c r="G35">
        <f t="shared" si="0"/>
        <v>56</v>
      </c>
      <c r="I35" s="22">
        <f t="shared" si="6"/>
        <v>18.666666666666668</v>
      </c>
      <c r="J35" s="6">
        <f>+IFR!AD35</f>
        <v>4.5730618211918166E-3</v>
      </c>
      <c r="K35" s="14">
        <f t="shared" si="1"/>
        <v>0.95</v>
      </c>
      <c r="L35" s="22">
        <f t="shared" si="7"/>
        <v>17.733333333333334</v>
      </c>
      <c r="M35" s="14">
        <v>1</v>
      </c>
      <c r="N35" s="14">
        <v>1</v>
      </c>
      <c r="P35" s="22">
        <f t="shared" si="2"/>
        <v>17.733333333333334</v>
      </c>
      <c r="R35" s="3">
        <f t="shared" si="3"/>
        <v>2.7711292091082661E-3</v>
      </c>
      <c r="T35" s="5">
        <f>+R35*(assessment!$J$272*assessment!$E$3)</f>
        <v>21440.044424003616</v>
      </c>
      <c r="V35" s="6">
        <f>+T35/payroll!F35</f>
        <v>1.0105023335985655E-4</v>
      </c>
      <c r="X35" s="5">
        <f>IF(V35&lt;$X$2,T35, +payroll!F35 * $X$2)</f>
        <v>21440.044424003616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497</v>
      </c>
      <c r="D36" s="42">
        <v>7</v>
      </c>
      <c r="E36" s="42">
        <v>0</v>
      </c>
      <c r="F36" s="42">
        <v>10</v>
      </c>
      <c r="G36">
        <f t="shared" si="0"/>
        <v>17</v>
      </c>
      <c r="I36" s="22">
        <f t="shared" si="6"/>
        <v>5.666666666666667</v>
      </c>
      <c r="J36" s="6">
        <f>+IFR!AD36</f>
        <v>1.9333746281885177E-2</v>
      </c>
      <c r="K36" s="14">
        <f t="shared" si="1"/>
        <v>0.95</v>
      </c>
      <c r="L36" s="22">
        <f t="shared" si="7"/>
        <v>5.3833333333333337</v>
      </c>
      <c r="M36" s="14">
        <v>1</v>
      </c>
      <c r="N36" s="14">
        <v>1</v>
      </c>
      <c r="P36" s="22">
        <f t="shared" si="2"/>
        <v>5.3833333333333337</v>
      </c>
      <c r="R36" s="3">
        <f t="shared" si="3"/>
        <v>8.4123565276500933E-4</v>
      </c>
      <c r="T36" s="5">
        <f>+R36*(assessment!$J$272*assessment!$E$3)</f>
        <v>6508.584914429669</v>
      </c>
      <c r="V36" s="6">
        <f>+T36/payroll!F36</f>
        <v>4.179479832996579E-4</v>
      </c>
      <c r="X36" s="5">
        <f>IF(V36&lt;$X$2,T36, +payroll!F36 * $X$2)</f>
        <v>6508.584914429669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42">
        <v>21</v>
      </c>
      <c r="E37" s="42">
        <v>15</v>
      </c>
      <c r="F37" s="42">
        <v>12</v>
      </c>
      <c r="G37">
        <f t="shared" si="0"/>
        <v>48</v>
      </c>
      <c r="I37" s="22">
        <f t="shared" si="6"/>
        <v>16</v>
      </c>
      <c r="J37" s="6">
        <f>+IFR!AD37</f>
        <v>5.3777309925266527E-3</v>
      </c>
      <c r="K37" s="14">
        <f t="shared" ref="K37:K68" si="8">IF(+J37&lt;$E$267,$I$267,IF(J37&gt;$E$269,$I$269,$I$268))</f>
        <v>0.95</v>
      </c>
      <c r="L37" s="22">
        <f t="shared" si="7"/>
        <v>15.2</v>
      </c>
      <c r="M37" s="14">
        <v>1</v>
      </c>
      <c r="N37" s="14">
        <v>1</v>
      </c>
      <c r="P37" s="22">
        <f t="shared" si="2"/>
        <v>15.2</v>
      </c>
      <c r="R37" s="3">
        <f t="shared" ref="R37:R68" si="9">+P37/$P$264</f>
        <v>2.375253607807085E-3</v>
      </c>
      <c r="T37" s="5">
        <f>+R37*(assessment!$J$272*assessment!$E$3)</f>
        <v>18377.18093486024</v>
      </c>
      <c r="V37" s="6">
        <f>+T37/payroll!F37</f>
        <v>1.063832186811468E-4</v>
      </c>
      <c r="X37" s="5">
        <f>IF(V37&lt;$X$2,T37, +payroll!F37 * $X$2)</f>
        <v>18377.18093486024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42">
        <v>4</v>
      </c>
      <c r="E38" s="42">
        <v>6</v>
      </c>
      <c r="F38" s="42">
        <v>5</v>
      </c>
      <c r="G38">
        <f t="shared" si="0"/>
        <v>15</v>
      </c>
      <c r="I38" s="22">
        <f t="shared" si="6"/>
        <v>5</v>
      </c>
      <c r="J38" s="6">
        <f>+IFR!AD38</f>
        <v>8.5981058011124351E-3</v>
      </c>
      <c r="K38" s="14">
        <f t="shared" si="8"/>
        <v>0.95</v>
      </c>
      <c r="L38" s="22">
        <f t="shared" si="7"/>
        <v>4.75</v>
      </c>
      <c r="M38" s="14">
        <v>1</v>
      </c>
      <c r="N38" s="14">
        <v>1</v>
      </c>
      <c r="P38" s="22">
        <f t="shared" si="2"/>
        <v>4.75</v>
      </c>
      <c r="R38" s="3">
        <f t="shared" si="9"/>
        <v>7.4226675243971405E-4</v>
      </c>
      <c r="T38" s="5">
        <f>+R38*(assessment!$J$272*assessment!$E$3)</f>
        <v>5742.869042143825</v>
      </c>
      <c r="V38" s="6">
        <f>+T38/payroll!F38</f>
        <v>1.303390688235615E-4</v>
      </c>
      <c r="X38" s="5">
        <f>IF(V38&lt;$X$2,T38, +payroll!F38 * $X$2)</f>
        <v>5742.869042143825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42">
        <v>1</v>
      </c>
      <c r="E39" s="42">
        <v>2</v>
      </c>
      <c r="F39" s="42">
        <v>1</v>
      </c>
      <c r="G39">
        <f t="shared" si="0"/>
        <v>4</v>
      </c>
      <c r="I39" s="22">
        <f t="shared" si="6"/>
        <v>1.3333333333333333</v>
      </c>
      <c r="J39" s="6">
        <f>+IFR!AD39</f>
        <v>8.8064536462890506E-3</v>
      </c>
      <c r="K39" s="14">
        <f t="shared" si="8"/>
        <v>0.95</v>
      </c>
      <c r="L39" s="22">
        <f t="shared" si="7"/>
        <v>1.2666666666666666</v>
      </c>
      <c r="M39" s="14">
        <v>1</v>
      </c>
      <c r="N39" s="14">
        <v>1</v>
      </c>
      <c r="P39" s="22">
        <f t="shared" si="2"/>
        <v>1.2666666666666666</v>
      </c>
      <c r="R39" s="3">
        <f t="shared" si="9"/>
        <v>1.979378006505904E-4</v>
      </c>
      <c r="T39" s="5">
        <f>+R39*(assessment!$J$272*assessment!$E$3)</f>
        <v>1531.4317445716865</v>
      </c>
      <c r="V39" s="6">
        <f>+T39/payroll!F39</f>
        <v>2.2507782156377097E-4</v>
      </c>
      <c r="X39" s="5">
        <f>IF(V39&lt;$X$2,T39, +payroll!F39 * $X$2)</f>
        <v>1531.4317445716865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42">
        <v>2</v>
      </c>
      <c r="E40" s="42">
        <v>4</v>
      </c>
      <c r="F40" s="42">
        <v>2</v>
      </c>
      <c r="G40">
        <f t="shared" si="0"/>
        <v>8</v>
      </c>
      <c r="I40" s="22">
        <f t="shared" si="6"/>
        <v>2.6666666666666665</v>
      </c>
      <c r="J40" s="6">
        <f>+IFR!AD40</f>
        <v>1.38727425711086E-2</v>
      </c>
      <c r="K40" s="14">
        <f t="shared" si="8"/>
        <v>0.95</v>
      </c>
      <c r="L40" s="22">
        <f t="shared" si="7"/>
        <v>2.5333333333333332</v>
      </c>
      <c r="M40" s="14">
        <v>1</v>
      </c>
      <c r="N40" s="14">
        <v>1</v>
      </c>
      <c r="P40" s="22">
        <f t="shared" si="2"/>
        <v>2.5333333333333332</v>
      </c>
      <c r="R40" s="3">
        <f t="shared" si="9"/>
        <v>3.9587560130118079E-4</v>
      </c>
      <c r="T40" s="5">
        <f>+R40*(assessment!$J$272*assessment!$E$3)</f>
        <v>3062.863489143373</v>
      </c>
      <c r="V40" s="6">
        <f>+T40/payroll!F40</f>
        <v>3.0495945507732309E-4</v>
      </c>
      <c r="X40" s="5">
        <f>IF(V40&lt;$X$2,T40, +payroll!F40 * $X$2)</f>
        <v>3062.863489143373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42">
        <v>0</v>
      </c>
      <c r="E41" s="42">
        <v>0</v>
      </c>
      <c r="F41" s="42">
        <v>1</v>
      </c>
      <c r="G41">
        <f t="shared" si="0"/>
        <v>1</v>
      </c>
      <c r="I41" s="22">
        <f t="shared" si="6"/>
        <v>0.33333333333333331</v>
      </c>
      <c r="J41" s="6">
        <f>+IFR!AD41</f>
        <v>2.6109660574412537E-3</v>
      </c>
      <c r="K41" s="14">
        <f t="shared" si="8"/>
        <v>0.95</v>
      </c>
      <c r="L41" s="22">
        <f t="shared" si="7"/>
        <v>0.31666666666666665</v>
      </c>
      <c r="M41" s="14">
        <v>1</v>
      </c>
      <c r="N41" s="14">
        <v>1</v>
      </c>
      <c r="P41" s="22">
        <f t="shared" si="2"/>
        <v>0.31666666666666665</v>
      </c>
      <c r="R41" s="3">
        <f t="shared" si="9"/>
        <v>4.9484450162647599E-5</v>
      </c>
      <c r="T41" s="5">
        <f>+R41*(assessment!$J$272*assessment!$E$3)</f>
        <v>382.85793614292163</v>
      </c>
      <c r="V41" s="6">
        <f>+T41/payroll!F41</f>
        <v>2.5817850868307446E-5</v>
      </c>
      <c r="X41" s="5">
        <f>IF(V41&lt;$X$2,T41, +payroll!F41 * $X$2)</f>
        <v>382.85793614292163</v>
      </c>
      <c r="Z41" s="5">
        <f t="shared" si="4"/>
        <v>0</v>
      </c>
      <c r="AB41">
        <f t="shared" si="5"/>
        <v>1</v>
      </c>
    </row>
    <row r="42" spans="1:28">
      <c r="A42" t="s">
        <v>61</v>
      </c>
      <c r="B42" t="s">
        <v>532</v>
      </c>
      <c r="D42" s="42">
        <v>1</v>
      </c>
      <c r="E42" s="42">
        <v>1</v>
      </c>
      <c r="F42" s="42">
        <v>0</v>
      </c>
      <c r="G42">
        <f t="shared" si="0"/>
        <v>2</v>
      </c>
      <c r="I42" s="22">
        <f t="shared" si="6"/>
        <v>0.66666666666666663</v>
      </c>
      <c r="J42" s="6">
        <f>+IFR!AD42</f>
        <v>5.0000000000000001E-3</v>
      </c>
      <c r="K42" s="14">
        <f t="shared" si="8"/>
        <v>0.95</v>
      </c>
      <c r="L42" s="22">
        <f t="shared" si="7"/>
        <v>0.6333333333333333</v>
      </c>
      <c r="M42" s="14">
        <v>1</v>
      </c>
      <c r="N42" s="14">
        <v>1</v>
      </c>
      <c r="P42" s="22">
        <f t="shared" si="2"/>
        <v>0.6333333333333333</v>
      </c>
      <c r="R42" s="3">
        <f t="shared" si="9"/>
        <v>9.8968900325295198E-5</v>
      </c>
      <c r="T42" s="5">
        <f>+R42*(assessment!$J$272*assessment!$E$3)</f>
        <v>765.71587228584326</v>
      </c>
      <c r="V42" s="6">
        <f>+T42/payroll!F42</f>
        <v>1.2800724682742809E-4</v>
      </c>
      <c r="X42" s="5">
        <f>IF(V42&lt;$X$2,T42, +payroll!F42 * $X$2)</f>
        <v>765.71587228584326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42">
        <v>0</v>
      </c>
      <c r="E43" s="42">
        <v>1</v>
      </c>
      <c r="F43" s="42">
        <v>2</v>
      </c>
      <c r="G43">
        <f t="shared" si="0"/>
        <v>3</v>
      </c>
      <c r="I43" s="22">
        <f t="shared" si="6"/>
        <v>1</v>
      </c>
      <c r="J43" s="6">
        <f>+IFR!AD43</f>
        <v>7.0055364293970905E-3</v>
      </c>
      <c r="K43" s="14">
        <f t="shared" si="8"/>
        <v>0.95</v>
      </c>
      <c r="L43" s="22">
        <f t="shared" si="7"/>
        <v>0.95</v>
      </c>
      <c r="M43" s="14">
        <v>1</v>
      </c>
      <c r="N43" s="14">
        <v>1</v>
      </c>
      <c r="P43" s="22">
        <f t="shared" si="2"/>
        <v>0.95</v>
      </c>
      <c r="R43" s="3">
        <f t="shared" si="9"/>
        <v>1.4845335048794281E-4</v>
      </c>
      <c r="T43" s="5">
        <f>+R43*(assessment!$J$272*assessment!$E$3)</f>
        <v>1148.573808428765</v>
      </c>
      <c r="V43" s="6">
        <f>+T43/payroll!F43</f>
        <v>7.370205503944416E-5</v>
      </c>
      <c r="X43" s="5">
        <f>IF(V43&lt;$X$2,T43, +payroll!F43 * $X$2)</f>
        <v>1148.573808428765</v>
      </c>
      <c r="Z43" s="5">
        <f t="shared" si="4"/>
        <v>0</v>
      </c>
      <c r="AB43">
        <f t="shared" si="5"/>
        <v>1</v>
      </c>
    </row>
    <row r="44" spans="1:28">
      <c r="A44" s="50" t="s">
        <v>64</v>
      </c>
      <c r="B44" s="50" t="s">
        <v>533</v>
      </c>
      <c r="D44" s="42">
        <f>38+19</f>
        <v>57</v>
      </c>
      <c r="E44" s="42">
        <f>36+23</f>
        <v>59</v>
      </c>
      <c r="F44" s="42">
        <f>28+12</f>
        <v>40</v>
      </c>
      <c r="G44">
        <f>SUM(D44:F44)</f>
        <v>156</v>
      </c>
      <c r="I44" s="22">
        <f>AVERAGE(D44:F44)</f>
        <v>52</v>
      </c>
      <c r="J44" s="6">
        <f>+IFR!AD44</f>
        <v>1.7606961218369067E-2</v>
      </c>
      <c r="K44" s="14">
        <f t="shared" si="8"/>
        <v>0.95</v>
      </c>
      <c r="L44" s="22">
        <f>+I44*K44</f>
        <v>49.4</v>
      </c>
      <c r="M44" s="14">
        <v>1</v>
      </c>
      <c r="N44" s="14">
        <v>1</v>
      </c>
      <c r="P44" s="22">
        <f>+L44*M44*N44</f>
        <v>49.4</v>
      </c>
      <c r="R44" s="3">
        <f t="shared" si="9"/>
        <v>7.7195742253730257E-3</v>
      </c>
      <c r="T44" s="5">
        <f>+R44*(assessment!$J$272*assessment!$E$3)</f>
        <v>59725.838038295777</v>
      </c>
      <c r="V44" s="6">
        <f>+T44/payroll!F44</f>
        <v>4.8111743632415111E-4</v>
      </c>
      <c r="X44" s="5">
        <f>IF(V44&lt;$X$2,T44, +payroll!F44 * $X$2)</f>
        <v>59725.838038295777</v>
      </c>
      <c r="Z44" s="5">
        <f>+T44-X44</f>
        <v>0</v>
      </c>
      <c r="AB44">
        <f>+X44/T44</f>
        <v>1</v>
      </c>
    </row>
    <row r="45" spans="1:28">
      <c r="A45" t="s">
        <v>555</v>
      </c>
      <c r="B45" t="s">
        <v>556</v>
      </c>
      <c r="D45" s="42">
        <v>0</v>
      </c>
      <c r="E45" s="42">
        <v>0</v>
      </c>
      <c r="F45" s="42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8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9"/>
        <v>0</v>
      </c>
      <c r="T45" s="5">
        <f>+R45*(assessment!$J$272*assessment!$E$3)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42">
        <v>1</v>
      </c>
      <c r="E46" s="42">
        <v>3</v>
      </c>
      <c r="F46" s="42">
        <v>1</v>
      </c>
      <c r="G46">
        <f>SUM(D46:F46)</f>
        <v>5</v>
      </c>
      <c r="I46" s="22">
        <f>AVERAGE(D46:F46)</f>
        <v>1.6666666666666667</v>
      </c>
      <c r="J46" s="6">
        <f>+IFR!AD46</f>
        <v>1.6638001638001637E-2</v>
      </c>
      <c r="K46" s="14">
        <f t="shared" si="8"/>
        <v>0.95</v>
      </c>
      <c r="L46" s="22">
        <f>+I46*K46</f>
        <v>1.5833333333333333</v>
      </c>
      <c r="M46" s="14">
        <v>1</v>
      </c>
      <c r="N46" s="14">
        <v>1</v>
      </c>
      <c r="P46" s="22">
        <f>+L46*M46*N46</f>
        <v>1.5833333333333333</v>
      </c>
      <c r="R46" s="3">
        <f t="shared" si="9"/>
        <v>2.4742225081323798E-4</v>
      </c>
      <c r="T46" s="5">
        <f>+R46*(assessment!$J$272*assessment!$E$3)</f>
        <v>1914.289680714608</v>
      </c>
      <c r="V46" s="6">
        <f>+T46/payroll!F46</f>
        <v>3.4960843917035422E-4</v>
      </c>
      <c r="X46" s="5">
        <f>IF(V46&lt;$X$2,T46, +payroll!F46 * $X$2)</f>
        <v>1914.289680714608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42">
        <v>1</v>
      </c>
      <c r="E47" s="42">
        <v>6</v>
      </c>
      <c r="F47" s="42">
        <v>1</v>
      </c>
      <c r="G47">
        <f>SUM(D47:F47)</f>
        <v>8</v>
      </c>
      <c r="I47" s="22">
        <f>AVERAGE(D47:F47)</f>
        <v>2.6666666666666665</v>
      </c>
      <c r="J47" s="6">
        <f>+IFR!AD47</f>
        <v>9.4082786143179324E-3</v>
      </c>
      <c r="K47" s="14">
        <f t="shared" si="8"/>
        <v>0.95</v>
      </c>
      <c r="L47" s="22">
        <f>+I47*K47</f>
        <v>2.5333333333333332</v>
      </c>
      <c r="M47" s="14">
        <v>1</v>
      </c>
      <c r="N47" s="14">
        <v>1</v>
      </c>
      <c r="P47" s="22">
        <f>+L47*M47*N47</f>
        <v>2.5333333333333332</v>
      </c>
      <c r="R47" s="3">
        <f t="shared" si="9"/>
        <v>3.9587560130118079E-4</v>
      </c>
      <c r="T47" s="5">
        <f>+R47*(assessment!$J$272*assessment!$E$3)</f>
        <v>3062.863489143373</v>
      </c>
      <c r="V47" s="6">
        <f>+T47/payroll!F47</f>
        <v>1.6096307319702252E-4</v>
      </c>
      <c r="X47" s="5">
        <f>IF(V47&lt;$X$2,T47, +payroll!F47 * $X$2)</f>
        <v>3062.863489143373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42">
        <v>0</v>
      </c>
      <c r="E48" s="42">
        <v>0</v>
      </c>
      <c r="F48" s="42">
        <v>1</v>
      </c>
      <c r="G48">
        <f>SUM(D48:F48)</f>
        <v>1</v>
      </c>
      <c r="I48" s="22">
        <f>AVERAGE(D48:F48)</f>
        <v>0.33333333333333331</v>
      </c>
      <c r="J48" s="6">
        <f>+IFR!AD48</f>
        <v>5.0000000000000001E-3</v>
      </c>
      <c r="K48" s="14">
        <f t="shared" si="8"/>
        <v>0.95</v>
      </c>
      <c r="L48" s="22">
        <f>+I48*K48</f>
        <v>0.31666666666666665</v>
      </c>
      <c r="M48" s="14">
        <v>1</v>
      </c>
      <c r="N48" s="14">
        <v>1</v>
      </c>
      <c r="P48" s="22">
        <f>+L48*M48*N48</f>
        <v>0.31666666666666665</v>
      </c>
      <c r="R48" s="3">
        <f t="shared" si="9"/>
        <v>4.9484450162647599E-5</v>
      </c>
      <c r="T48" s="5">
        <f>+R48*(assessment!$J$272*assessment!$E$3)</f>
        <v>382.85793614292163</v>
      </c>
      <c r="V48" s="6">
        <f>+T48/payroll!F48</f>
        <v>5.1445519179149299E-4</v>
      </c>
      <c r="X48" s="5">
        <f>IF(V48&lt;$X$2,T48, +payroll!F48 * $X$2)</f>
        <v>382.85793614292163</v>
      </c>
      <c r="Z48" s="5">
        <f>+T48-X48</f>
        <v>0</v>
      </c>
      <c r="AB48">
        <f>+X48/T48</f>
        <v>1</v>
      </c>
    </row>
    <row r="49" spans="1:28">
      <c r="A49" t="s">
        <v>71</v>
      </c>
      <c r="B49" t="s">
        <v>72</v>
      </c>
      <c r="D49" s="42">
        <v>0</v>
      </c>
      <c r="E49" s="42">
        <v>0</v>
      </c>
      <c r="F49" s="42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8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9"/>
        <v>0</v>
      </c>
      <c r="T49" s="5">
        <f>+R49*(assessment!$J$272*assessment!$E$3)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42">
        <v>0</v>
      </c>
      <c r="E50" s="42">
        <v>0</v>
      </c>
      <c r="F50" s="42">
        <v>1</v>
      </c>
      <c r="G50">
        <f t="shared" si="0"/>
        <v>1</v>
      </c>
      <c r="I50" s="22">
        <f t="shared" si="6"/>
        <v>0.33333333333333331</v>
      </c>
      <c r="J50" s="6">
        <f>+IFR!AD50</f>
        <v>5.0000000000000001E-3</v>
      </c>
      <c r="K50" s="14">
        <f t="shared" si="8"/>
        <v>0.95</v>
      </c>
      <c r="L50" s="22">
        <f t="shared" si="7"/>
        <v>0.31666666666666665</v>
      </c>
      <c r="M50" s="14">
        <v>1</v>
      </c>
      <c r="N50" s="14">
        <v>1</v>
      </c>
      <c r="P50" s="22">
        <f t="shared" si="2"/>
        <v>0.31666666666666665</v>
      </c>
      <c r="R50" s="3">
        <f t="shared" si="9"/>
        <v>4.9484450162647599E-5</v>
      </c>
      <c r="T50" s="5">
        <f>+R50*(assessment!$J$272*assessment!$E$3)</f>
        <v>382.85793614292163</v>
      </c>
      <c r="V50" s="6">
        <f>+T50/payroll!F50</f>
        <v>6.0101596851950612E-4</v>
      </c>
      <c r="X50" s="5">
        <f>IF(V50&lt;$X$2,T50, +payroll!F50 * $X$2)</f>
        <v>382.85793614292163</v>
      </c>
      <c r="Z50" s="5">
        <f t="shared" si="4"/>
        <v>0</v>
      </c>
      <c r="AB50">
        <f t="shared" si="5"/>
        <v>1</v>
      </c>
    </row>
    <row r="51" spans="1:28">
      <c r="A51" t="s">
        <v>75</v>
      </c>
      <c r="B51" t="s">
        <v>76</v>
      </c>
      <c r="D51" s="42">
        <v>0</v>
      </c>
      <c r="E51" s="42">
        <v>1</v>
      </c>
      <c r="F51" s="42">
        <v>0</v>
      </c>
      <c r="G51">
        <f t="shared" si="0"/>
        <v>1</v>
      </c>
      <c r="I51" s="22">
        <f t="shared" si="6"/>
        <v>0.33333333333333331</v>
      </c>
      <c r="J51" s="6">
        <f>+IFR!AD51</f>
        <v>3.3333333333333335E-3</v>
      </c>
      <c r="K51" s="14">
        <f t="shared" si="8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3">
        <f t="shared" si="9"/>
        <v>4.9484450162647599E-5</v>
      </c>
      <c r="T51" s="5">
        <f>+R51*(assessment!$J$272*assessment!$E$3)</f>
        <v>382.85793614292163</v>
      </c>
      <c r="V51" s="6">
        <f>+T51/payroll!F51</f>
        <v>2.1954507297351953E-4</v>
      </c>
      <c r="X51" s="5">
        <f>IF(V51&lt;$X$2,T51, +payroll!F51 * $X$2)</f>
        <v>382.85793614292163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42">
        <v>0</v>
      </c>
      <c r="E52" s="42">
        <v>0</v>
      </c>
      <c r="F52" s="42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8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9"/>
        <v>0</v>
      </c>
      <c r="T52" s="5">
        <f>+R52*(assessment!$J$272*assessment!$E$3)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42">
        <v>0</v>
      </c>
      <c r="E53" s="42">
        <v>0</v>
      </c>
      <c r="F53" s="42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8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9"/>
        <v>0</v>
      </c>
      <c r="T53" s="5">
        <f>+R53*(assessment!$J$272*assessment!$E$3)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498</v>
      </c>
      <c r="D54" s="42">
        <v>4</v>
      </c>
      <c r="E54" s="42">
        <v>1</v>
      </c>
      <c r="F54" s="42">
        <v>1</v>
      </c>
      <c r="G54">
        <f t="shared" si="0"/>
        <v>6</v>
      </c>
      <c r="I54" s="22">
        <f t="shared" si="6"/>
        <v>2</v>
      </c>
      <c r="J54" s="6">
        <f>+IFR!AD54</f>
        <v>4.9596971850772338E-3</v>
      </c>
      <c r="K54" s="14">
        <f t="shared" si="8"/>
        <v>0.95</v>
      </c>
      <c r="L54" s="22">
        <f t="shared" si="7"/>
        <v>1.9</v>
      </c>
      <c r="M54" s="14">
        <v>1</v>
      </c>
      <c r="N54" s="14">
        <v>1</v>
      </c>
      <c r="P54" s="22">
        <f t="shared" si="2"/>
        <v>1.9</v>
      </c>
      <c r="R54" s="3">
        <f t="shared" si="9"/>
        <v>2.9690670097588562E-4</v>
      </c>
      <c r="T54" s="5">
        <f>+R54*(assessment!$J$272*assessment!$E$3)</f>
        <v>2297.14761685753</v>
      </c>
      <c r="V54" s="6">
        <f>+T54/payroll!F54</f>
        <v>1.1449391323649564E-4</v>
      </c>
      <c r="X54" s="5">
        <f>IF(V54&lt;$X$2,T54, +payroll!F54 * $X$2)</f>
        <v>2297.14761685753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42">
        <v>0</v>
      </c>
      <c r="E55" s="42">
        <v>0</v>
      </c>
      <c r="F55" s="42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8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9"/>
        <v>0</v>
      </c>
      <c r="T55" s="5">
        <f>+R55*(assessment!$J$272*assessment!$E$3)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6" t="s">
        <v>559</v>
      </c>
      <c r="D56" s="42">
        <v>22</v>
      </c>
      <c r="E56" s="42">
        <v>78</v>
      </c>
      <c r="F56" s="42">
        <v>44</v>
      </c>
      <c r="G56">
        <f t="shared" ref="G56:G99" si="10">SUM(D56:F56)</f>
        <v>144</v>
      </c>
      <c r="I56" s="22">
        <f t="shared" ref="I56:I99" si="11">AVERAGE(D56:F56)</f>
        <v>48</v>
      </c>
      <c r="J56" s="6">
        <f>+IFR!AD56</f>
        <v>9.859379609608665E-2</v>
      </c>
      <c r="K56" s="14">
        <f t="shared" si="8"/>
        <v>1.05</v>
      </c>
      <c r="L56" s="22">
        <f t="shared" ref="L56:L99" si="12">+I56*K56</f>
        <v>50.400000000000006</v>
      </c>
      <c r="M56" s="14">
        <v>1</v>
      </c>
      <c r="N56" s="14">
        <v>1</v>
      </c>
      <c r="P56" s="22">
        <f t="shared" ref="P56:P99" si="13">+L56*M56*N56</f>
        <v>50.400000000000006</v>
      </c>
      <c r="R56" s="3">
        <f t="shared" si="9"/>
        <v>7.8758409100971767E-3</v>
      </c>
      <c r="T56" s="5">
        <f>+R56*(assessment!$J$272*assessment!$E$3)</f>
        <v>60934.863099799746</v>
      </c>
      <c r="V56" s="6">
        <f>+T56/payroll!F56</f>
        <v>2.3092330742591795E-3</v>
      </c>
      <c r="X56" s="5">
        <f>IF(V56&lt;$X$2,T56, +payroll!F56 * $X$2)</f>
        <v>60934.863099799746</v>
      </c>
      <c r="Z56" s="5">
        <f t="shared" ref="Z56:Z99" si="14">+T56-X56</f>
        <v>0</v>
      </c>
      <c r="AB56">
        <f t="shared" ref="AB56:AB99" si="15">+X56/T56</f>
        <v>1</v>
      </c>
    </row>
    <row r="57" spans="1:28">
      <c r="A57" t="s">
        <v>85</v>
      </c>
      <c r="B57" t="s">
        <v>86</v>
      </c>
      <c r="D57" s="42">
        <v>5</v>
      </c>
      <c r="E57" s="42">
        <v>4</v>
      </c>
      <c r="F57" s="42">
        <v>4</v>
      </c>
      <c r="G57">
        <f t="shared" si="10"/>
        <v>13</v>
      </c>
      <c r="I57" s="22">
        <f t="shared" si="11"/>
        <v>4.333333333333333</v>
      </c>
      <c r="J57" s="6">
        <f>+IFR!AD57</f>
        <v>1.0765632403968425E-2</v>
      </c>
      <c r="K57" s="14">
        <f t="shared" si="8"/>
        <v>0.95</v>
      </c>
      <c r="L57" s="22">
        <f t="shared" si="12"/>
        <v>4.1166666666666663</v>
      </c>
      <c r="M57" s="14">
        <v>1</v>
      </c>
      <c r="N57" s="14">
        <v>1</v>
      </c>
      <c r="P57" s="22">
        <f t="shared" si="13"/>
        <v>4.1166666666666663</v>
      </c>
      <c r="R57" s="3">
        <f t="shared" si="9"/>
        <v>6.4329785211441877E-4</v>
      </c>
      <c r="T57" s="5">
        <f>+R57*(assessment!$J$272*assessment!$E$3)</f>
        <v>4977.1531698579811</v>
      </c>
      <c r="V57" s="6">
        <f>+T57/payroll!F57</f>
        <v>2.7825703640913739E-4</v>
      </c>
      <c r="X57" s="5">
        <f>IF(V57&lt;$X$2,T57, +payroll!F57 * $X$2)</f>
        <v>4977.1531698579811</v>
      </c>
      <c r="Z57" s="5">
        <f t="shared" si="14"/>
        <v>0</v>
      </c>
      <c r="AB57">
        <f t="shared" si="15"/>
        <v>1</v>
      </c>
    </row>
    <row r="58" spans="1:28">
      <c r="A58" t="s">
        <v>87</v>
      </c>
      <c r="B58" t="s">
        <v>88</v>
      </c>
      <c r="D58" s="42">
        <v>403</v>
      </c>
      <c r="E58" s="42">
        <v>423</v>
      </c>
      <c r="F58" s="42">
        <v>510</v>
      </c>
      <c r="G58">
        <f t="shared" si="10"/>
        <v>1336</v>
      </c>
      <c r="I58" s="22">
        <f t="shared" si="11"/>
        <v>445.33333333333331</v>
      </c>
      <c r="J58" s="6">
        <f>+IFR!AD58</f>
        <v>5.0639172582508461E-2</v>
      </c>
      <c r="K58" s="14">
        <f t="shared" si="8"/>
        <v>1</v>
      </c>
      <c r="L58" s="22">
        <f t="shared" si="12"/>
        <v>445.33333333333331</v>
      </c>
      <c r="M58" s="14">
        <v>1</v>
      </c>
      <c r="N58" s="14">
        <v>1</v>
      </c>
      <c r="P58" s="22">
        <f t="shared" si="13"/>
        <v>445.33333333333331</v>
      </c>
      <c r="R58" s="3">
        <f t="shared" si="9"/>
        <v>6.9590763597154937E-2</v>
      </c>
      <c r="T58" s="5">
        <f>+R58*(assessment!$J$272*assessment!$E$3)</f>
        <v>538419.1607230982</v>
      </c>
      <c r="V58" s="6">
        <f>+T58/payroll!F58</f>
        <v>9.7059490008068465E-4</v>
      </c>
      <c r="X58" s="5">
        <f>IF(V58&lt;$X$2,T58, +payroll!F58 * $X$2)</f>
        <v>538419.1607230982</v>
      </c>
      <c r="Z58" s="5">
        <f t="shared" si="14"/>
        <v>0</v>
      </c>
      <c r="AB58">
        <f t="shared" si="15"/>
        <v>1</v>
      </c>
    </row>
    <row r="59" spans="1:28">
      <c r="A59" t="s">
        <v>89</v>
      </c>
      <c r="B59" s="36" t="s">
        <v>557</v>
      </c>
      <c r="D59" s="42">
        <v>0</v>
      </c>
      <c r="E59" s="42">
        <v>0</v>
      </c>
      <c r="F59" s="42">
        <v>1</v>
      </c>
      <c r="G59">
        <f t="shared" si="10"/>
        <v>1</v>
      </c>
      <c r="I59" s="22">
        <f t="shared" si="11"/>
        <v>0.33333333333333331</v>
      </c>
      <c r="J59" s="6">
        <f>+IFR!AD59</f>
        <v>5.0000000000000001E-3</v>
      </c>
      <c r="K59" s="14">
        <f t="shared" si="8"/>
        <v>0.95</v>
      </c>
      <c r="L59" s="22">
        <f t="shared" si="12"/>
        <v>0.31666666666666665</v>
      </c>
      <c r="M59" s="14">
        <v>1</v>
      </c>
      <c r="N59" s="14">
        <v>1</v>
      </c>
      <c r="P59" s="22">
        <f t="shared" si="13"/>
        <v>0.31666666666666665</v>
      </c>
      <c r="R59" s="3">
        <f t="shared" si="9"/>
        <v>4.9484450162647599E-5</v>
      </c>
      <c r="T59" s="5">
        <f>+R59*(assessment!$J$272*assessment!$E$3)</f>
        <v>382.85793614292163</v>
      </c>
      <c r="V59" s="6">
        <f>+T59/payroll!F59</f>
        <v>1.6215682800672332E-4</v>
      </c>
      <c r="X59" s="5">
        <f>IF(V59&lt;$X$2,T59, +payroll!F59 * $X$2)</f>
        <v>382.85793614292163</v>
      </c>
      <c r="Z59" s="5">
        <f t="shared" si="14"/>
        <v>0</v>
      </c>
      <c r="AB59">
        <f t="shared" si="15"/>
        <v>1</v>
      </c>
    </row>
    <row r="60" spans="1:28">
      <c r="A60" t="s">
        <v>90</v>
      </c>
      <c r="B60" t="s">
        <v>91</v>
      </c>
      <c r="D60" s="42">
        <v>0</v>
      </c>
      <c r="E60" s="42">
        <v>0</v>
      </c>
      <c r="F60" s="42">
        <v>0</v>
      </c>
      <c r="G60">
        <f t="shared" si="10"/>
        <v>0</v>
      </c>
      <c r="I60" s="22">
        <f t="shared" si="11"/>
        <v>0</v>
      </c>
      <c r="J60" s="6">
        <f>+IFR!AD60</f>
        <v>0</v>
      </c>
      <c r="K60" s="14">
        <f t="shared" si="8"/>
        <v>0.95</v>
      </c>
      <c r="L60" s="22">
        <f t="shared" si="12"/>
        <v>0</v>
      </c>
      <c r="M60" s="14">
        <v>1</v>
      </c>
      <c r="N60" s="14">
        <v>1</v>
      </c>
      <c r="P60" s="22">
        <f t="shared" si="13"/>
        <v>0</v>
      </c>
      <c r="R60" s="3">
        <f t="shared" si="9"/>
        <v>0</v>
      </c>
      <c r="T60" s="5">
        <f>+R60*(assessment!$J$272*assessment!$E$3)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4"/>
        <v>0</v>
      </c>
      <c r="AB60" t="e">
        <f t="shared" si="15"/>
        <v>#DIV/0!</v>
      </c>
    </row>
    <row r="61" spans="1:28">
      <c r="A61" t="s">
        <v>92</v>
      </c>
      <c r="B61" t="s">
        <v>93</v>
      </c>
      <c r="D61" s="42">
        <v>0</v>
      </c>
      <c r="E61" s="42">
        <v>0</v>
      </c>
      <c r="F61" s="42">
        <v>0</v>
      </c>
      <c r="G61">
        <f t="shared" si="10"/>
        <v>0</v>
      </c>
      <c r="I61" s="22">
        <f t="shared" si="11"/>
        <v>0</v>
      </c>
      <c r="J61" s="6">
        <f>+IFR!AD61</f>
        <v>0</v>
      </c>
      <c r="K61" s="14">
        <f t="shared" si="8"/>
        <v>0.95</v>
      </c>
      <c r="L61" s="22">
        <f t="shared" si="12"/>
        <v>0</v>
      </c>
      <c r="M61" s="14">
        <v>1</v>
      </c>
      <c r="N61" s="14">
        <v>1</v>
      </c>
      <c r="P61" s="22">
        <f t="shared" si="13"/>
        <v>0</v>
      </c>
      <c r="R61" s="3">
        <f t="shared" si="9"/>
        <v>0</v>
      </c>
      <c r="T61" s="5">
        <f>+R61*(assessment!$J$272*assessment!$E$3)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4"/>
        <v>0</v>
      </c>
      <c r="AB61" t="e">
        <f t="shared" si="15"/>
        <v>#DIV/0!</v>
      </c>
    </row>
    <row r="62" spans="1:28">
      <c r="A62" t="s">
        <v>490</v>
      </c>
      <c r="B62" t="s">
        <v>491</v>
      </c>
      <c r="D62" s="42">
        <v>3</v>
      </c>
      <c r="E62" s="42">
        <v>2</v>
      </c>
      <c r="F62" s="42">
        <v>1</v>
      </c>
      <c r="G62">
        <f>SUM(D62:F62)</f>
        <v>6</v>
      </c>
      <c r="I62" s="22">
        <f>AVERAGE(D62:F62)</f>
        <v>2</v>
      </c>
      <c r="J62" s="6">
        <f>+IFR!AD62</f>
        <v>1.0187728158266254E-2</v>
      </c>
      <c r="K62" s="14">
        <f t="shared" si="8"/>
        <v>0.95</v>
      </c>
      <c r="L62" s="22">
        <f>+I62*K62</f>
        <v>1.9</v>
      </c>
      <c r="M62" s="14">
        <v>1</v>
      </c>
      <c r="N62" s="14">
        <v>1</v>
      </c>
      <c r="P62" s="22">
        <f>+L62*M62*N62</f>
        <v>1.9</v>
      </c>
      <c r="R62" s="3">
        <f t="shared" si="9"/>
        <v>2.9690670097588562E-4</v>
      </c>
      <c r="T62" s="5">
        <f>+R62*(assessment!$J$272*assessment!$E$3)</f>
        <v>2297.14761685753</v>
      </c>
      <c r="V62" s="6">
        <f>+T62/payroll!F62</f>
        <v>2.9606586593308021E-4</v>
      </c>
      <c r="X62" s="5">
        <f>IF(V62&lt;$X$2,T62, +payroll!F62 * $X$2)</f>
        <v>2297.14761685753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492</v>
      </c>
      <c r="D63" s="42">
        <v>0</v>
      </c>
      <c r="E63" s="42">
        <v>0</v>
      </c>
      <c r="F63" s="42">
        <v>0</v>
      </c>
      <c r="G63">
        <f t="shared" si="10"/>
        <v>0</v>
      </c>
      <c r="I63" s="22">
        <f t="shared" si="11"/>
        <v>0</v>
      </c>
      <c r="J63" s="6">
        <f>+IFR!AD63</f>
        <v>0</v>
      </c>
      <c r="K63" s="14">
        <f t="shared" si="8"/>
        <v>0.95</v>
      </c>
      <c r="L63" s="22">
        <f t="shared" si="12"/>
        <v>0</v>
      </c>
      <c r="M63" s="14">
        <v>1</v>
      </c>
      <c r="N63" s="14">
        <v>1</v>
      </c>
      <c r="P63" s="22">
        <f t="shared" si="13"/>
        <v>0</v>
      </c>
      <c r="R63" s="3">
        <f t="shared" si="9"/>
        <v>0</v>
      </c>
      <c r="T63" s="5">
        <f>+R63*(assessment!$J$272*assessment!$E$3)</f>
        <v>0</v>
      </c>
      <c r="V63" s="6">
        <f>+T63/payroll!F63</f>
        <v>0</v>
      </c>
      <c r="X63" s="5">
        <f>IF(V63&lt;$X$2,T63, +payroll!F63 * $X$2)</f>
        <v>0</v>
      </c>
      <c r="Z63" s="5">
        <f t="shared" si="14"/>
        <v>0</v>
      </c>
      <c r="AB63" t="e">
        <f t="shared" si="15"/>
        <v>#DIV/0!</v>
      </c>
    </row>
    <row r="64" spans="1:28">
      <c r="A64" t="s">
        <v>95</v>
      </c>
      <c r="B64" t="s">
        <v>96</v>
      </c>
      <c r="D64" s="42">
        <v>1</v>
      </c>
      <c r="E64" s="42">
        <v>0</v>
      </c>
      <c r="F64" s="42">
        <v>1</v>
      </c>
      <c r="G64">
        <f t="shared" si="10"/>
        <v>2</v>
      </c>
      <c r="I64" s="22">
        <f t="shared" si="11"/>
        <v>0.66666666666666663</v>
      </c>
      <c r="J64" s="6">
        <f>+IFR!AD64</f>
        <v>3.6436116080191452E-3</v>
      </c>
      <c r="K64" s="14">
        <f t="shared" si="8"/>
        <v>0.95</v>
      </c>
      <c r="L64" s="22">
        <f t="shared" si="12"/>
        <v>0.6333333333333333</v>
      </c>
      <c r="M64" s="14">
        <v>1</v>
      </c>
      <c r="N64" s="14">
        <v>1</v>
      </c>
      <c r="P64" s="22">
        <f t="shared" si="13"/>
        <v>0.6333333333333333</v>
      </c>
      <c r="R64" s="3">
        <f t="shared" si="9"/>
        <v>9.8968900325295198E-5</v>
      </c>
      <c r="T64" s="5">
        <f>+R64*(assessment!$J$272*assessment!$E$3)</f>
        <v>765.71587228584326</v>
      </c>
      <c r="V64" s="6">
        <f>+T64/payroll!F64</f>
        <v>4.6694768228423188E-5</v>
      </c>
      <c r="X64" s="5">
        <f>IF(V64&lt;$X$2,T64, +payroll!F64 * $X$2)</f>
        <v>765.71587228584326</v>
      </c>
      <c r="Z64" s="5">
        <f t="shared" si="14"/>
        <v>0</v>
      </c>
      <c r="AB64">
        <f t="shared" si="15"/>
        <v>1</v>
      </c>
    </row>
    <row r="65" spans="1:28">
      <c r="A65" t="s">
        <v>97</v>
      </c>
      <c r="B65" t="s">
        <v>98</v>
      </c>
      <c r="D65" s="42">
        <v>5</v>
      </c>
      <c r="E65" s="42">
        <v>0</v>
      </c>
      <c r="F65" s="42">
        <v>2</v>
      </c>
      <c r="G65">
        <f t="shared" si="10"/>
        <v>7</v>
      </c>
      <c r="I65" s="22">
        <f t="shared" si="11"/>
        <v>2.3333333333333335</v>
      </c>
      <c r="J65" s="6">
        <f>+IFR!AD65</f>
        <v>4.7517126107544834E-3</v>
      </c>
      <c r="K65" s="14">
        <f t="shared" si="8"/>
        <v>0.95</v>
      </c>
      <c r="L65" s="22">
        <f t="shared" si="12"/>
        <v>2.2166666666666668</v>
      </c>
      <c r="M65" s="14">
        <v>1</v>
      </c>
      <c r="N65" s="14">
        <v>1</v>
      </c>
      <c r="P65" s="22">
        <f t="shared" si="13"/>
        <v>2.2166666666666668</v>
      </c>
      <c r="R65" s="3">
        <f t="shared" si="9"/>
        <v>3.4639115113853326E-4</v>
      </c>
      <c r="T65" s="5">
        <f>+R65*(assessment!$J$272*assessment!$E$3)</f>
        <v>2680.005553000452</v>
      </c>
      <c r="V65" s="6">
        <f>+T65/payroll!F65</f>
        <v>1.2299337758952682E-4</v>
      </c>
      <c r="X65" s="5">
        <f>IF(V65&lt;$X$2,T65, +payroll!F65 * $X$2)</f>
        <v>2680.005553000452</v>
      </c>
      <c r="Z65" s="5">
        <f t="shared" si="14"/>
        <v>0</v>
      </c>
      <c r="AB65">
        <f t="shared" si="15"/>
        <v>1</v>
      </c>
    </row>
    <row r="66" spans="1:28">
      <c r="A66" t="s">
        <v>99</v>
      </c>
      <c r="B66" t="s">
        <v>100</v>
      </c>
      <c r="D66" s="42">
        <v>11</v>
      </c>
      <c r="E66" s="42">
        <v>9</v>
      </c>
      <c r="F66" s="42">
        <v>13</v>
      </c>
      <c r="G66">
        <f t="shared" si="10"/>
        <v>33</v>
      </c>
      <c r="I66" s="22">
        <f t="shared" si="11"/>
        <v>11</v>
      </c>
      <c r="J66" s="6">
        <f>+IFR!AD66</f>
        <v>8.3833936661896827E-3</v>
      </c>
      <c r="K66" s="14">
        <f t="shared" si="8"/>
        <v>0.95</v>
      </c>
      <c r="L66" s="22">
        <f t="shared" si="12"/>
        <v>10.45</v>
      </c>
      <c r="M66" s="14">
        <v>1</v>
      </c>
      <c r="N66" s="14">
        <v>1</v>
      </c>
      <c r="P66" s="22">
        <f t="shared" si="13"/>
        <v>10.45</v>
      </c>
      <c r="R66" s="3">
        <f t="shared" si="9"/>
        <v>1.6329868553673708E-3</v>
      </c>
      <c r="T66" s="5">
        <f>+R66*(assessment!$J$272*assessment!$E$3)</f>
        <v>12634.311892716414</v>
      </c>
      <c r="V66" s="6">
        <f>+T66/payroll!F66</f>
        <v>1.6753322156242974E-4</v>
      </c>
      <c r="X66" s="5">
        <f>IF(V66&lt;$X$2,T66, +payroll!F66 * $X$2)</f>
        <v>12634.311892716414</v>
      </c>
      <c r="Z66" s="5">
        <f t="shared" si="14"/>
        <v>0</v>
      </c>
      <c r="AB66">
        <f t="shared" si="15"/>
        <v>1</v>
      </c>
    </row>
    <row r="67" spans="1:28">
      <c r="A67" t="s">
        <v>101</v>
      </c>
      <c r="B67" t="s">
        <v>534</v>
      </c>
      <c r="D67" s="42">
        <v>6</v>
      </c>
      <c r="E67" s="42">
        <v>5</v>
      </c>
      <c r="F67" s="42">
        <v>3</v>
      </c>
      <c r="G67">
        <f t="shared" si="10"/>
        <v>14</v>
      </c>
      <c r="I67" s="22">
        <f t="shared" si="11"/>
        <v>4.666666666666667</v>
      </c>
      <c r="J67" s="6">
        <f>+IFR!AD67</f>
        <v>5.6892441366061591E-3</v>
      </c>
      <c r="K67" s="14">
        <f t="shared" si="8"/>
        <v>0.95</v>
      </c>
      <c r="L67" s="22">
        <f t="shared" si="12"/>
        <v>4.4333333333333336</v>
      </c>
      <c r="M67" s="14">
        <v>1</v>
      </c>
      <c r="N67" s="14">
        <v>1</v>
      </c>
      <c r="P67" s="22">
        <f t="shared" si="13"/>
        <v>4.4333333333333336</v>
      </c>
      <c r="R67" s="3">
        <f t="shared" si="9"/>
        <v>6.9278230227706652E-4</v>
      </c>
      <c r="T67" s="5">
        <f>+R67*(assessment!$J$272*assessment!$E$3)</f>
        <v>5360.011106000904</v>
      </c>
      <c r="V67" s="6">
        <f>+T67/payroll!F67</f>
        <v>1.2644831515121169E-4</v>
      </c>
      <c r="X67" s="5">
        <f>IF(V67&lt;$X$2,T67, +payroll!F67 * $X$2)</f>
        <v>5360.011106000904</v>
      </c>
      <c r="Z67" s="5">
        <f t="shared" si="14"/>
        <v>0</v>
      </c>
      <c r="AB67">
        <f t="shared" si="15"/>
        <v>1</v>
      </c>
    </row>
    <row r="68" spans="1:28">
      <c r="A68" t="s">
        <v>102</v>
      </c>
      <c r="B68" t="s">
        <v>103</v>
      </c>
      <c r="D68" s="42">
        <v>0</v>
      </c>
      <c r="E68" s="42">
        <v>0</v>
      </c>
      <c r="F68" s="42">
        <v>0</v>
      </c>
      <c r="G68">
        <f t="shared" si="10"/>
        <v>0</v>
      </c>
      <c r="I68" s="22">
        <f t="shared" si="11"/>
        <v>0</v>
      </c>
      <c r="J68" s="6">
        <f>+IFR!AD68</f>
        <v>0</v>
      </c>
      <c r="K68" s="14">
        <f t="shared" si="8"/>
        <v>0.95</v>
      </c>
      <c r="L68" s="22">
        <f t="shared" si="12"/>
        <v>0</v>
      </c>
      <c r="M68" s="14">
        <v>1</v>
      </c>
      <c r="N68" s="14">
        <v>1</v>
      </c>
      <c r="P68" s="22">
        <f t="shared" si="13"/>
        <v>0</v>
      </c>
      <c r="R68" s="3">
        <f t="shared" si="9"/>
        <v>0</v>
      </c>
      <c r="T68" s="5">
        <f>+R68*(assessment!$J$272*assessment!$E$3)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4"/>
        <v>0</v>
      </c>
      <c r="AB68" t="e">
        <f t="shared" si="15"/>
        <v>#DIV/0!</v>
      </c>
    </row>
    <row r="69" spans="1:28">
      <c r="A69" t="s">
        <v>104</v>
      </c>
      <c r="B69" t="s">
        <v>105</v>
      </c>
      <c r="D69" s="42">
        <v>0</v>
      </c>
      <c r="E69" s="42">
        <v>0</v>
      </c>
      <c r="F69" s="42">
        <v>0</v>
      </c>
      <c r="G69">
        <f t="shared" si="10"/>
        <v>0</v>
      </c>
      <c r="I69" s="22">
        <f t="shared" si="11"/>
        <v>0</v>
      </c>
      <c r="J69" s="6">
        <f>+IFR!AD69</f>
        <v>0</v>
      </c>
      <c r="K69" s="14">
        <f t="shared" ref="K69:K98" si="16">IF(+J69&lt;$E$267,$I$267,IF(J69&gt;$E$269,$I$269,$I$268))</f>
        <v>0.95</v>
      </c>
      <c r="L69" s="22">
        <f t="shared" si="12"/>
        <v>0</v>
      </c>
      <c r="M69" s="14">
        <v>1</v>
      </c>
      <c r="N69" s="14">
        <v>1</v>
      </c>
      <c r="P69" s="22">
        <f t="shared" si="13"/>
        <v>0</v>
      </c>
      <c r="R69" s="3">
        <f t="shared" ref="R69:R97" si="17">+P69/$P$264</f>
        <v>0</v>
      </c>
      <c r="T69" s="5">
        <f>+R69*(assessment!$J$272*assessment!$E$3)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4"/>
        <v>0</v>
      </c>
      <c r="AB69" t="e">
        <f t="shared" si="15"/>
        <v>#DIV/0!</v>
      </c>
    </row>
    <row r="70" spans="1:28">
      <c r="A70" t="s">
        <v>106</v>
      </c>
      <c r="B70" t="s">
        <v>107</v>
      </c>
      <c r="D70" s="42">
        <v>14</v>
      </c>
      <c r="E70" s="42">
        <v>13</v>
      </c>
      <c r="F70" s="42">
        <v>29</v>
      </c>
      <c r="G70">
        <f t="shared" si="10"/>
        <v>56</v>
      </c>
      <c r="I70" s="22">
        <f t="shared" si="11"/>
        <v>18.666666666666668</v>
      </c>
      <c r="J70" s="6">
        <f>+IFR!AD70</f>
        <v>3.457417595545257E-2</v>
      </c>
      <c r="K70" s="14">
        <f t="shared" si="16"/>
        <v>0.95</v>
      </c>
      <c r="L70" s="22">
        <f t="shared" si="12"/>
        <v>17.733333333333334</v>
      </c>
      <c r="M70" s="14">
        <v>1</v>
      </c>
      <c r="N70" s="14">
        <v>1</v>
      </c>
      <c r="P70" s="22">
        <f t="shared" si="13"/>
        <v>17.733333333333334</v>
      </c>
      <c r="R70" s="3">
        <f t="shared" si="17"/>
        <v>2.7711292091082661E-3</v>
      </c>
      <c r="T70" s="5">
        <f>+R70*(assessment!$J$272*assessment!$E$3)</f>
        <v>21440.044424003616</v>
      </c>
      <c r="V70" s="6">
        <f>+T70/payroll!F70</f>
        <v>6.2509140943875626E-4</v>
      </c>
      <c r="X70" s="5">
        <f>IF(V70&lt;$X$2,T70, +payroll!F70 * $X$2)</f>
        <v>21440.044424003616</v>
      </c>
      <c r="Z70" s="5">
        <f t="shared" si="14"/>
        <v>0</v>
      </c>
      <c r="AB70">
        <f t="shared" si="15"/>
        <v>1</v>
      </c>
    </row>
    <row r="71" spans="1:28">
      <c r="A71" t="s">
        <v>108</v>
      </c>
      <c r="B71" t="s">
        <v>109</v>
      </c>
      <c r="D71" s="42">
        <v>0</v>
      </c>
      <c r="E71" s="42">
        <v>1</v>
      </c>
      <c r="F71" s="42">
        <v>0</v>
      </c>
      <c r="G71">
        <f t="shared" si="10"/>
        <v>1</v>
      </c>
      <c r="I71" s="22">
        <f t="shared" si="11"/>
        <v>0.33333333333333331</v>
      </c>
      <c r="J71" s="6">
        <f>+IFR!AD71</f>
        <v>3.3333333333333335E-3</v>
      </c>
      <c r="K71" s="14">
        <f t="shared" si="16"/>
        <v>0.95</v>
      </c>
      <c r="L71" s="22">
        <f t="shared" si="12"/>
        <v>0.31666666666666665</v>
      </c>
      <c r="M71" s="14">
        <v>1</v>
      </c>
      <c r="N71" s="14">
        <v>1</v>
      </c>
      <c r="P71" s="22">
        <f t="shared" si="13"/>
        <v>0.31666666666666665</v>
      </c>
      <c r="R71" s="3">
        <f t="shared" si="17"/>
        <v>4.9484450162647599E-5</v>
      </c>
      <c r="T71" s="5">
        <f>+R71*(assessment!$J$272*assessment!$E$3)</f>
        <v>382.85793614292163</v>
      </c>
      <c r="V71" s="6">
        <f>+T71/payroll!F71</f>
        <v>2.809865451759325E-4</v>
      </c>
      <c r="X71" s="5">
        <f>IF(V71&lt;$X$2,T71, +payroll!F71 * $X$2)</f>
        <v>382.85793614292163</v>
      </c>
      <c r="Z71" s="5">
        <f t="shared" si="14"/>
        <v>0</v>
      </c>
      <c r="AB71">
        <f t="shared" si="15"/>
        <v>1</v>
      </c>
    </row>
    <row r="72" spans="1:28">
      <c r="A72" t="s">
        <v>110</v>
      </c>
      <c r="B72" t="s">
        <v>111</v>
      </c>
      <c r="D72" s="42">
        <v>0</v>
      </c>
      <c r="E72" s="42">
        <v>0</v>
      </c>
      <c r="F72" s="42">
        <v>0</v>
      </c>
      <c r="G72">
        <f t="shared" si="10"/>
        <v>0</v>
      </c>
      <c r="I72" s="22">
        <f t="shared" si="11"/>
        <v>0</v>
      </c>
      <c r="J72" s="6">
        <f>+IFR!AD72</f>
        <v>0</v>
      </c>
      <c r="K72" s="14">
        <f t="shared" si="16"/>
        <v>0.95</v>
      </c>
      <c r="L72" s="22">
        <f t="shared" si="12"/>
        <v>0</v>
      </c>
      <c r="M72" s="14">
        <v>1</v>
      </c>
      <c r="N72" s="14">
        <v>1</v>
      </c>
      <c r="P72" s="22">
        <f t="shared" si="13"/>
        <v>0</v>
      </c>
      <c r="R72" s="3">
        <f t="shared" si="17"/>
        <v>0</v>
      </c>
      <c r="T72" s="5">
        <f>+R72*(assessment!$J$272*assessment!$E$3)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4"/>
        <v>0</v>
      </c>
      <c r="AB72" t="e">
        <f t="shared" si="15"/>
        <v>#DIV/0!</v>
      </c>
    </row>
    <row r="73" spans="1:28">
      <c r="A73" t="s">
        <v>112</v>
      </c>
      <c r="B73" t="s">
        <v>113</v>
      </c>
      <c r="D73" s="42">
        <v>0</v>
      </c>
      <c r="E73" s="42">
        <v>0</v>
      </c>
      <c r="F73" s="42">
        <v>0</v>
      </c>
      <c r="G73">
        <f t="shared" si="10"/>
        <v>0</v>
      </c>
      <c r="I73" s="22">
        <f t="shared" si="11"/>
        <v>0</v>
      </c>
      <c r="J73" s="6">
        <f>+IFR!AD73</f>
        <v>0</v>
      </c>
      <c r="K73" s="14">
        <f t="shared" si="16"/>
        <v>0.95</v>
      </c>
      <c r="L73" s="22">
        <f t="shared" si="12"/>
        <v>0</v>
      </c>
      <c r="M73" s="14">
        <v>1</v>
      </c>
      <c r="N73" s="14">
        <v>1</v>
      </c>
      <c r="P73" s="22">
        <f t="shared" si="13"/>
        <v>0</v>
      </c>
      <c r="R73" s="3">
        <f t="shared" si="17"/>
        <v>0</v>
      </c>
      <c r="T73" s="5">
        <f>+R73*(assessment!$J$272*assessment!$E$3)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4"/>
        <v>0</v>
      </c>
      <c r="AB73" t="e">
        <f t="shared" si="15"/>
        <v>#DIV/0!</v>
      </c>
    </row>
    <row r="74" spans="1:28">
      <c r="A74" t="s">
        <v>114</v>
      </c>
      <c r="B74" t="s">
        <v>115</v>
      </c>
      <c r="D74" s="42">
        <v>0</v>
      </c>
      <c r="E74" s="42">
        <v>0</v>
      </c>
      <c r="F74" s="42">
        <v>0</v>
      </c>
      <c r="G74">
        <f t="shared" si="10"/>
        <v>0</v>
      </c>
      <c r="I74" s="22">
        <f t="shared" si="11"/>
        <v>0</v>
      </c>
      <c r="J74" s="6">
        <f>+IFR!AD74</f>
        <v>0</v>
      </c>
      <c r="K74" s="14">
        <f t="shared" si="16"/>
        <v>0.95</v>
      </c>
      <c r="L74" s="22">
        <f t="shared" si="12"/>
        <v>0</v>
      </c>
      <c r="M74" s="14">
        <v>1</v>
      </c>
      <c r="N74" s="14">
        <v>1</v>
      </c>
      <c r="P74" s="22">
        <f t="shared" si="13"/>
        <v>0</v>
      </c>
      <c r="R74" s="3">
        <f t="shared" si="17"/>
        <v>0</v>
      </c>
      <c r="T74" s="5">
        <f>+R74*(assessment!$J$272*assessment!$E$3)</f>
        <v>0</v>
      </c>
      <c r="V74" s="6">
        <f>+T74/payroll!F74</f>
        <v>0</v>
      </c>
      <c r="X74" s="5">
        <f>IF(V74&lt;$X$2,T74, +payroll!F74 * $X$2)</f>
        <v>0</v>
      </c>
      <c r="Z74" s="5">
        <f t="shared" si="14"/>
        <v>0</v>
      </c>
      <c r="AB74" t="e">
        <f t="shared" si="15"/>
        <v>#DIV/0!</v>
      </c>
    </row>
    <row r="75" spans="1:28">
      <c r="A75" t="s">
        <v>116</v>
      </c>
      <c r="B75" t="s">
        <v>117</v>
      </c>
      <c r="D75" s="42">
        <v>0</v>
      </c>
      <c r="E75" s="42">
        <v>0</v>
      </c>
      <c r="F75" s="42">
        <v>1</v>
      </c>
      <c r="G75">
        <f t="shared" si="10"/>
        <v>1</v>
      </c>
      <c r="I75" s="22">
        <f t="shared" si="11"/>
        <v>0.33333333333333331</v>
      </c>
      <c r="J75" s="6">
        <f>+IFR!AD75</f>
        <v>5.0000000000000001E-3</v>
      </c>
      <c r="K75" s="14">
        <f t="shared" si="16"/>
        <v>0.95</v>
      </c>
      <c r="L75" s="22">
        <f t="shared" si="12"/>
        <v>0.31666666666666665</v>
      </c>
      <c r="M75" s="14">
        <v>1</v>
      </c>
      <c r="N75" s="14">
        <v>1</v>
      </c>
      <c r="P75" s="22">
        <f t="shared" si="13"/>
        <v>0.31666666666666665</v>
      </c>
      <c r="R75" s="3">
        <f t="shared" si="17"/>
        <v>4.9484450162647599E-5</v>
      </c>
      <c r="T75" s="5">
        <f>+R75*(assessment!$J$272*assessment!$E$3)</f>
        <v>382.85793614292163</v>
      </c>
      <c r="V75" s="6">
        <f>+T75/payroll!F75</f>
        <v>1.955342736963547E-4</v>
      </c>
      <c r="X75" s="5">
        <f>IF(V75&lt;$X$2,T75, +payroll!F75 * $X$2)</f>
        <v>382.85793614292163</v>
      </c>
      <c r="Z75" s="5">
        <f t="shared" si="14"/>
        <v>0</v>
      </c>
      <c r="AB75">
        <f t="shared" si="15"/>
        <v>1</v>
      </c>
    </row>
    <row r="76" spans="1:28">
      <c r="A76" t="s">
        <v>118</v>
      </c>
      <c r="B76" t="s">
        <v>119</v>
      </c>
      <c r="D76" s="42">
        <v>1</v>
      </c>
      <c r="E76" s="42">
        <v>0</v>
      </c>
      <c r="F76" s="42">
        <v>1</v>
      </c>
      <c r="G76">
        <f t="shared" si="10"/>
        <v>2</v>
      </c>
      <c r="I76" s="22">
        <f t="shared" si="11"/>
        <v>0.66666666666666663</v>
      </c>
      <c r="J76" s="6">
        <f>+IFR!AD76</f>
        <v>3.5855190152804688E-3</v>
      </c>
      <c r="K76" s="14">
        <f t="shared" si="16"/>
        <v>0.95</v>
      </c>
      <c r="L76" s="22">
        <f t="shared" si="12"/>
        <v>0.6333333333333333</v>
      </c>
      <c r="M76" s="14">
        <v>1</v>
      </c>
      <c r="N76" s="14">
        <v>1</v>
      </c>
      <c r="P76" s="22">
        <f t="shared" si="13"/>
        <v>0.6333333333333333</v>
      </c>
      <c r="R76" s="3">
        <f t="shared" si="17"/>
        <v>9.8968900325295198E-5</v>
      </c>
      <c r="T76" s="5">
        <f>+R76*(assessment!$J$272*assessment!$E$3)</f>
        <v>765.71587228584326</v>
      </c>
      <c r="V76" s="6">
        <f>+T76/payroll!F76</f>
        <v>6.0662014120010468E-5</v>
      </c>
      <c r="X76" s="5">
        <f>IF(V76&lt;$X$2,T76, +payroll!F76 * $X$2)</f>
        <v>765.71587228584326</v>
      </c>
      <c r="Z76" s="5">
        <f t="shared" si="14"/>
        <v>0</v>
      </c>
      <c r="AB76">
        <f t="shared" si="15"/>
        <v>1</v>
      </c>
    </row>
    <row r="77" spans="1:28">
      <c r="A77" t="s">
        <v>120</v>
      </c>
      <c r="B77" t="s">
        <v>121</v>
      </c>
      <c r="D77" s="42">
        <v>0</v>
      </c>
      <c r="E77" s="42">
        <v>0</v>
      </c>
      <c r="F77" s="42">
        <v>0</v>
      </c>
      <c r="G77">
        <f t="shared" si="10"/>
        <v>0</v>
      </c>
      <c r="I77" s="22">
        <f t="shared" si="11"/>
        <v>0</v>
      </c>
      <c r="J77" s="6">
        <f>+IFR!AD77</f>
        <v>0</v>
      </c>
      <c r="K77" s="14">
        <f t="shared" si="16"/>
        <v>0.95</v>
      </c>
      <c r="L77" s="22">
        <f t="shared" si="12"/>
        <v>0</v>
      </c>
      <c r="M77" s="14">
        <v>1</v>
      </c>
      <c r="N77" s="14">
        <v>1</v>
      </c>
      <c r="P77" s="22">
        <f t="shared" si="13"/>
        <v>0</v>
      </c>
      <c r="R77" s="3">
        <f t="shared" si="17"/>
        <v>0</v>
      </c>
      <c r="T77" s="5">
        <f>+R77*(assessment!$J$272*assessment!$E$3)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4"/>
        <v>0</v>
      </c>
      <c r="AB77" t="e">
        <f t="shared" si="15"/>
        <v>#DIV/0!</v>
      </c>
    </row>
    <row r="78" spans="1:28">
      <c r="A78" t="s">
        <v>122</v>
      </c>
      <c r="B78" t="s">
        <v>123</v>
      </c>
      <c r="D78" s="42">
        <v>0</v>
      </c>
      <c r="E78" s="42">
        <v>0</v>
      </c>
      <c r="F78" s="42">
        <v>0</v>
      </c>
      <c r="G78">
        <f t="shared" si="10"/>
        <v>0</v>
      </c>
      <c r="I78" s="22">
        <f t="shared" si="11"/>
        <v>0</v>
      </c>
      <c r="J78" s="6">
        <f>+IFR!AD78</f>
        <v>0</v>
      </c>
      <c r="K78" s="14">
        <f t="shared" si="16"/>
        <v>0.95</v>
      </c>
      <c r="L78" s="22">
        <f t="shared" si="12"/>
        <v>0</v>
      </c>
      <c r="M78" s="14">
        <v>1</v>
      </c>
      <c r="N78" s="14">
        <v>1</v>
      </c>
      <c r="P78" s="22">
        <f t="shared" si="13"/>
        <v>0</v>
      </c>
      <c r="R78" s="3">
        <f t="shared" si="17"/>
        <v>0</v>
      </c>
      <c r="T78" s="5">
        <f>+R78*(assessment!$J$272*assessment!$E$3)</f>
        <v>0</v>
      </c>
      <c r="V78" s="6">
        <f>+T78/payroll!F78</f>
        <v>0</v>
      </c>
      <c r="X78" s="5">
        <f>IF(V78&lt;$X$2,T78, +payroll!F78 * $X$2)</f>
        <v>0</v>
      </c>
      <c r="Z78" s="5">
        <f t="shared" si="14"/>
        <v>0</v>
      </c>
      <c r="AB78" t="e">
        <f t="shared" si="15"/>
        <v>#DIV/0!</v>
      </c>
    </row>
    <row r="79" spans="1:28">
      <c r="A79" t="s">
        <v>124</v>
      </c>
      <c r="B79" t="s">
        <v>499</v>
      </c>
      <c r="D79" s="42">
        <v>0</v>
      </c>
      <c r="E79" s="42">
        <v>0</v>
      </c>
      <c r="F79" s="42">
        <v>0</v>
      </c>
      <c r="G79">
        <f t="shared" si="10"/>
        <v>0</v>
      </c>
      <c r="I79" s="22">
        <f t="shared" si="11"/>
        <v>0</v>
      </c>
      <c r="J79" s="6">
        <f>+IFR!AD79</f>
        <v>0</v>
      </c>
      <c r="K79" s="14">
        <f t="shared" si="16"/>
        <v>0.95</v>
      </c>
      <c r="L79" s="22">
        <f t="shared" si="12"/>
        <v>0</v>
      </c>
      <c r="M79" s="14">
        <v>1</v>
      </c>
      <c r="N79" s="14">
        <v>1</v>
      </c>
      <c r="P79" s="22">
        <f t="shared" si="13"/>
        <v>0</v>
      </c>
      <c r="R79" s="3">
        <f t="shared" si="17"/>
        <v>0</v>
      </c>
      <c r="T79" s="5">
        <f>+R79*(assessment!$J$272*assessment!$E$3)</f>
        <v>0</v>
      </c>
      <c r="V79" s="6">
        <f>+T79/payroll!F79</f>
        <v>0</v>
      </c>
      <c r="X79" s="5">
        <f>IF(V79&lt;$X$2,T79, +payroll!F79 * $X$2)</f>
        <v>0</v>
      </c>
      <c r="Z79" s="5">
        <f t="shared" si="14"/>
        <v>0</v>
      </c>
      <c r="AB79" t="e">
        <f t="shared" si="15"/>
        <v>#DIV/0!</v>
      </c>
    </row>
    <row r="80" spans="1:28">
      <c r="A80" t="s">
        <v>125</v>
      </c>
      <c r="B80" t="s">
        <v>126</v>
      </c>
      <c r="D80" s="42">
        <v>3</v>
      </c>
      <c r="E80" s="42">
        <v>3</v>
      </c>
      <c r="F80" s="42">
        <v>8</v>
      </c>
      <c r="G80">
        <f t="shared" si="10"/>
        <v>14</v>
      </c>
      <c r="I80" s="22">
        <f t="shared" si="11"/>
        <v>4.666666666666667</v>
      </c>
      <c r="J80" s="6">
        <f>+IFR!AD80</f>
        <v>4.8156512795359631E-2</v>
      </c>
      <c r="K80" s="14">
        <f t="shared" si="16"/>
        <v>1</v>
      </c>
      <c r="L80" s="22">
        <f t="shared" si="12"/>
        <v>4.666666666666667</v>
      </c>
      <c r="M80" s="14">
        <v>1</v>
      </c>
      <c r="N80" s="14">
        <v>1</v>
      </c>
      <c r="P80" s="22">
        <f t="shared" si="13"/>
        <v>4.666666666666667</v>
      </c>
      <c r="R80" s="3">
        <f t="shared" si="17"/>
        <v>7.2924452871270154E-4</v>
      </c>
      <c r="T80" s="5">
        <f>+R80*(assessment!$J$272*assessment!$E$3)</f>
        <v>5642.1169536851621</v>
      </c>
      <c r="V80" s="6">
        <f>+T80/payroll!F80</f>
        <v>9.370819410987884E-4</v>
      </c>
      <c r="X80" s="5">
        <f>IF(V80&lt;$X$2,T80, +payroll!F80 * $X$2)</f>
        <v>5642.1169536851621</v>
      </c>
      <c r="Z80" s="5">
        <f t="shared" si="14"/>
        <v>0</v>
      </c>
      <c r="AB80">
        <f t="shared" si="15"/>
        <v>1</v>
      </c>
    </row>
    <row r="81" spans="1:28">
      <c r="A81" t="s">
        <v>482</v>
      </c>
      <c r="B81" t="s">
        <v>535</v>
      </c>
      <c r="D81" s="42">
        <v>0</v>
      </c>
      <c r="E81" s="42">
        <v>0</v>
      </c>
      <c r="F81" s="42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6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3">
        <f t="shared" si="17"/>
        <v>0</v>
      </c>
      <c r="T81" s="5">
        <f>+R81*(assessment!$J$272*assessment!$E$3)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493</v>
      </c>
      <c r="D82" s="42">
        <v>1</v>
      </c>
      <c r="E82" s="42">
        <v>0</v>
      </c>
      <c r="F82" s="42">
        <v>0</v>
      </c>
      <c r="G82">
        <f t="shared" si="10"/>
        <v>1</v>
      </c>
      <c r="I82" s="22">
        <f t="shared" si="11"/>
        <v>0.33333333333333331</v>
      </c>
      <c r="J82" s="6">
        <f>+IFR!AD82</f>
        <v>1.0423181154888472E-3</v>
      </c>
      <c r="K82" s="14">
        <f t="shared" si="16"/>
        <v>0.95</v>
      </c>
      <c r="L82" s="22">
        <f t="shared" si="12"/>
        <v>0.31666666666666665</v>
      </c>
      <c r="M82" s="14">
        <v>1</v>
      </c>
      <c r="N82" s="14">
        <v>1</v>
      </c>
      <c r="P82" s="22">
        <f t="shared" si="13"/>
        <v>0.31666666666666665</v>
      </c>
      <c r="R82" s="3">
        <f t="shared" si="17"/>
        <v>4.9484450162647599E-5</v>
      </c>
      <c r="T82" s="5">
        <f>+R82*(assessment!$J$272*assessment!$E$3)</f>
        <v>382.85793614292163</v>
      </c>
      <c r="V82" s="6">
        <f>+T82/payroll!F82</f>
        <v>4.2610522298488503E-5</v>
      </c>
      <c r="X82" s="5">
        <f>IF(V82&lt;$X$2,T82, +payroll!F82 * $X$2)</f>
        <v>382.85793614292163</v>
      </c>
      <c r="Z82" s="5">
        <f t="shared" si="14"/>
        <v>0</v>
      </c>
      <c r="AB82">
        <f t="shared" si="15"/>
        <v>1</v>
      </c>
    </row>
    <row r="83" spans="1:28">
      <c r="A83" t="s">
        <v>128</v>
      </c>
      <c r="B83" t="s">
        <v>129</v>
      </c>
      <c r="D83" s="42">
        <v>0</v>
      </c>
      <c r="E83" s="42">
        <v>0</v>
      </c>
      <c r="F83" s="42">
        <v>0</v>
      </c>
      <c r="G83">
        <f t="shared" si="10"/>
        <v>0</v>
      </c>
      <c r="I83" s="22">
        <f t="shared" si="11"/>
        <v>0</v>
      </c>
      <c r="J83" s="6">
        <f>+IFR!AD83</f>
        <v>0</v>
      </c>
      <c r="K83" s="14">
        <f t="shared" si="16"/>
        <v>0.95</v>
      </c>
      <c r="L83" s="22">
        <f t="shared" si="12"/>
        <v>0</v>
      </c>
      <c r="M83" s="14">
        <v>1</v>
      </c>
      <c r="N83" s="14">
        <v>1</v>
      </c>
      <c r="P83" s="22">
        <f t="shared" si="13"/>
        <v>0</v>
      </c>
      <c r="R83" s="3">
        <f t="shared" si="17"/>
        <v>0</v>
      </c>
      <c r="T83" s="5">
        <f>+R83*(assessment!$J$272*assessment!$E$3)</f>
        <v>0</v>
      </c>
      <c r="V83" s="6">
        <f>+T83/payroll!F83</f>
        <v>0</v>
      </c>
      <c r="X83" s="5">
        <f>IF(V83&lt;$X$2,T83, +payroll!F83 * $X$2)</f>
        <v>0</v>
      </c>
      <c r="Z83" s="5">
        <f t="shared" si="14"/>
        <v>0</v>
      </c>
      <c r="AB83" t="e">
        <f t="shared" si="15"/>
        <v>#DIV/0!</v>
      </c>
    </row>
    <row r="84" spans="1:28">
      <c r="A84" t="s">
        <v>130</v>
      </c>
      <c r="B84" t="s">
        <v>536</v>
      </c>
      <c r="D84" s="42">
        <v>1</v>
      </c>
      <c r="E84" s="42">
        <v>0</v>
      </c>
      <c r="F84" s="42">
        <v>1</v>
      </c>
      <c r="G84">
        <f t="shared" si="10"/>
        <v>2</v>
      </c>
      <c r="I84" s="22">
        <f t="shared" si="11"/>
        <v>0.66666666666666663</v>
      </c>
      <c r="J84" s="6">
        <f>+IFR!AD84</f>
        <v>6.0238490089236348E-3</v>
      </c>
      <c r="K84" s="14">
        <f t="shared" si="16"/>
        <v>0.95</v>
      </c>
      <c r="L84" s="22">
        <f t="shared" si="12"/>
        <v>0.6333333333333333</v>
      </c>
      <c r="M84" s="14">
        <v>1</v>
      </c>
      <c r="N84" s="14">
        <v>1</v>
      </c>
      <c r="P84" s="22">
        <f t="shared" si="13"/>
        <v>0.6333333333333333</v>
      </c>
      <c r="R84" s="3">
        <f t="shared" si="17"/>
        <v>9.8968900325295198E-5</v>
      </c>
      <c r="T84" s="5">
        <f>+R84*(assessment!$J$272*assessment!$E$3)</f>
        <v>765.71587228584326</v>
      </c>
      <c r="V84" s="6">
        <f>+T84/payroll!F84</f>
        <v>1.222012449021047E-4</v>
      </c>
      <c r="X84" s="5">
        <f>IF(V84&lt;$X$2,T84, +payroll!F84 * $X$2)</f>
        <v>765.71587228584326</v>
      </c>
      <c r="Z84" s="5">
        <f t="shared" si="14"/>
        <v>0</v>
      </c>
      <c r="AB84">
        <f t="shared" si="15"/>
        <v>1</v>
      </c>
    </row>
    <row r="85" spans="1:28">
      <c r="A85" t="s">
        <v>131</v>
      </c>
      <c r="B85" t="s">
        <v>132</v>
      </c>
      <c r="D85" s="42">
        <v>0</v>
      </c>
      <c r="E85" s="42">
        <v>0</v>
      </c>
      <c r="F85" s="42">
        <v>0</v>
      </c>
      <c r="G85">
        <f t="shared" si="10"/>
        <v>0</v>
      </c>
      <c r="I85" s="22">
        <f t="shared" si="11"/>
        <v>0</v>
      </c>
      <c r="J85" s="6">
        <f>+IFR!AD85</f>
        <v>0</v>
      </c>
      <c r="K85" s="14">
        <f t="shared" si="16"/>
        <v>0.95</v>
      </c>
      <c r="L85" s="22">
        <f t="shared" si="12"/>
        <v>0</v>
      </c>
      <c r="M85" s="14">
        <v>1</v>
      </c>
      <c r="N85" s="14">
        <v>1</v>
      </c>
      <c r="P85" s="22">
        <f t="shared" si="13"/>
        <v>0</v>
      </c>
      <c r="R85" s="3">
        <f t="shared" si="17"/>
        <v>0</v>
      </c>
      <c r="T85" s="5">
        <f>+R85*(assessment!$J$272*assessment!$E$3)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4"/>
        <v>0</v>
      </c>
      <c r="AB85" t="e">
        <f t="shared" si="15"/>
        <v>#DIV/0!</v>
      </c>
    </row>
    <row r="86" spans="1:28">
      <c r="A86" t="s">
        <v>133</v>
      </c>
      <c r="B86" t="s">
        <v>134</v>
      </c>
      <c r="D86" s="42">
        <v>0</v>
      </c>
      <c r="E86" s="42">
        <v>0</v>
      </c>
      <c r="F86" s="42">
        <v>0</v>
      </c>
      <c r="G86">
        <f t="shared" si="10"/>
        <v>0</v>
      </c>
      <c r="I86" s="22">
        <f t="shared" si="11"/>
        <v>0</v>
      </c>
      <c r="J86" s="6">
        <f>+IFR!AD86</f>
        <v>0</v>
      </c>
      <c r="K86" s="14">
        <f t="shared" si="16"/>
        <v>0.95</v>
      </c>
      <c r="L86" s="22">
        <f t="shared" si="12"/>
        <v>0</v>
      </c>
      <c r="M86" s="14">
        <v>1</v>
      </c>
      <c r="N86" s="14">
        <v>1</v>
      </c>
      <c r="P86" s="22">
        <f t="shared" si="13"/>
        <v>0</v>
      </c>
      <c r="R86" s="3">
        <f t="shared" si="17"/>
        <v>0</v>
      </c>
      <c r="T86" s="5">
        <f>+R86*(assessment!$J$272*assessment!$E$3)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4"/>
        <v>0</v>
      </c>
      <c r="AB86" t="e">
        <f t="shared" si="15"/>
        <v>#DIV/0!</v>
      </c>
    </row>
    <row r="87" spans="1:28">
      <c r="A87" t="s">
        <v>135</v>
      </c>
      <c r="B87" t="s">
        <v>136</v>
      </c>
      <c r="D87" s="42">
        <v>0</v>
      </c>
      <c r="E87" s="42">
        <v>0</v>
      </c>
      <c r="F87" s="42">
        <v>0</v>
      </c>
      <c r="G87">
        <f t="shared" si="10"/>
        <v>0</v>
      </c>
      <c r="I87" s="22">
        <f t="shared" si="11"/>
        <v>0</v>
      </c>
      <c r="J87" s="6">
        <f>+IFR!AD87</f>
        <v>0</v>
      </c>
      <c r="K87" s="14">
        <f t="shared" si="16"/>
        <v>0.95</v>
      </c>
      <c r="L87" s="22">
        <f t="shared" si="12"/>
        <v>0</v>
      </c>
      <c r="M87" s="14">
        <v>1</v>
      </c>
      <c r="N87" s="14">
        <v>1</v>
      </c>
      <c r="P87" s="22">
        <f t="shared" si="13"/>
        <v>0</v>
      </c>
      <c r="R87" s="3">
        <f t="shared" si="17"/>
        <v>0</v>
      </c>
      <c r="T87" s="5">
        <f>+R87*(assessment!$J$272*assessment!$E$3)</f>
        <v>0</v>
      </c>
      <c r="V87" s="6">
        <f>+T87/payroll!F87</f>
        <v>0</v>
      </c>
      <c r="X87" s="5">
        <f>IF(V87&lt;$X$2,T87, +payroll!F87 * $X$2)</f>
        <v>0</v>
      </c>
      <c r="Z87" s="5">
        <f t="shared" si="14"/>
        <v>0</v>
      </c>
      <c r="AB87" t="e">
        <f t="shared" si="15"/>
        <v>#DIV/0!</v>
      </c>
    </row>
    <row r="88" spans="1:28">
      <c r="A88" t="s">
        <v>137</v>
      </c>
      <c r="B88" t="s">
        <v>138</v>
      </c>
      <c r="D88" s="42">
        <v>1</v>
      </c>
      <c r="E88" s="42">
        <v>2</v>
      </c>
      <c r="F88" s="42">
        <v>0</v>
      </c>
      <c r="G88">
        <f t="shared" si="10"/>
        <v>3</v>
      </c>
      <c r="I88" s="22">
        <f t="shared" si="11"/>
        <v>1</v>
      </c>
      <c r="J88" s="6">
        <f>+IFR!AD88</f>
        <v>8.3333333333333332E-3</v>
      </c>
      <c r="K88" s="14">
        <f t="shared" si="16"/>
        <v>0.95</v>
      </c>
      <c r="L88" s="22">
        <f t="shared" si="12"/>
        <v>0.95</v>
      </c>
      <c r="M88" s="14">
        <v>1</v>
      </c>
      <c r="N88" s="14">
        <v>1</v>
      </c>
      <c r="P88" s="22">
        <f t="shared" si="13"/>
        <v>0.95</v>
      </c>
      <c r="R88" s="3">
        <f t="shared" si="17"/>
        <v>1.4845335048794281E-4</v>
      </c>
      <c r="T88" s="5">
        <f>+R88*(assessment!$J$272*assessment!$E$3)</f>
        <v>1148.573808428765</v>
      </c>
      <c r="V88" s="6">
        <f>+T88/payroll!F88</f>
        <v>2.3669898677247051E-4</v>
      </c>
      <c r="X88" s="5">
        <f>IF(V88&lt;$X$2,T88, +payroll!F88 * $X$2)</f>
        <v>1148.573808428765</v>
      </c>
      <c r="Z88" s="5">
        <f t="shared" si="14"/>
        <v>0</v>
      </c>
      <c r="AB88">
        <f t="shared" si="15"/>
        <v>1</v>
      </c>
    </row>
    <row r="89" spans="1:28">
      <c r="A89" t="s">
        <v>139</v>
      </c>
      <c r="B89" t="s">
        <v>140</v>
      </c>
      <c r="D89" s="42">
        <v>0</v>
      </c>
      <c r="E89" s="42">
        <v>0</v>
      </c>
      <c r="F89" s="42">
        <v>0</v>
      </c>
      <c r="G89">
        <f t="shared" si="10"/>
        <v>0</v>
      </c>
      <c r="I89" s="22">
        <f t="shared" si="11"/>
        <v>0</v>
      </c>
      <c r="J89" s="6">
        <f>+IFR!AD89</f>
        <v>0</v>
      </c>
      <c r="K89" s="14">
        <f t="shared" si="16"/>
        <v>0.95</v>
      </c>
      <c r="L89" s="22">
        <f t="shared" si="12"/>
        <v>0</v>
      </c>
      <c r="M89" s="14">
        <v>1</v>
      </c>
      <c r="N89" s="14">
        <v>1</v>
      </c>
      <c r="P89" s="22">
        <f t="shared" si="13"/>
        <v>0</v>
      </c>
      <c r="R89" s="3">
        <f t="shared" si="17"/>
        <v>0</v>
      </c>
      <c r="T89" s="5">
        <f>+R89*(assessment!$J$272*assessment!$E$3)</f>
        <v>0</v>
      </c>
      <c r="V89" s="6">
        <f>+T89/payroll!F89</f>
        <v>0</v>
      </c>
      <c r="X89" s="5">
        <f>IF(V89&lt;$X$2,T89, +payroll!F89 * $X$2)</f>
        <v>0</v>
      </c>
      <c r="Z89" s="5">
        <f t="shared" si="14"/>
        <v>0</v>
      </c>
      <c r="AB89" t="e">
        <f t="shared" si="15"/>
        <v>#DIV/0!</v>
      </c>
    </row>
    <row r="90" spans="1:28">
      <c r="A90" s="50" t="s">
        <v>141</v>
      </c>
      <c r="B90" s="50" t="s">
        <v>142</v>
      </c>
      <c r="D90" s="42">
        <v>2325</v>
      </c>
      <c r="E90" s="42">
        <v>2226</v>
      </c>
      <c r="F90" s="42">
        <v>2077</v>
      </c>
      <c r="G90">
        <f t="shared" ref="G90:G93" si="18">SUM(D90:F90)</f>
        <v>6628</v>
      </c>
      <c r="I90" s="22">
        <f t="shared" ref="I90:I93" si="19">AVERAGE(D90:F90)</f>
        <v>2209.3333333333335</v>
      </c>
      <c r="J90" s="6">
        <f>+IFR!AD90</f>
        <v>5.2780355327354256E-2</v>
      </c>
      <c r="K90" s="14">
        <f t="shared" si="16"/>
        <v>1</v>
      </c>
      <c r="L90" s="22">
        <f t="shared" ref="L90:L93" si="20">+I90*K90</f>
        <v>2209.3333333333335</v>
      </c>
      <c r="M90" s="14">
        <v>1</v>
      </c>
      <c r="N90" s="14">
        <v>1</v>
      </c>
      <c r="P90" s="22">
        <f t="shared" ref="P90:P93" si="21">+L90*M90*N90</f>
        <v>2209.3333333333335</v>
      </c>
      <c r="R90" s="3">
        <f t="shared" si="17"/>
        <v>0.34524519545055615</v>
      </c>
      <c r="T90" s="5">
        <f>+R90*(assessment!$J$272*assessment!$E$3)</f>
        <v>2671139.3692160896</v>
      </c>
      <c r="V90" s="6">
        <f>+T90/payroll!F90</f>
        <v>1.5824783869439838E-3</v>
      </c>
      <c r="X90" s="5">
        <f>IF(V90&lt;$X$2,T90, +payroll!F90 * $X$2)</f>
        <v>2671139.3692160896</v>
      </c>
      <c r="Z90" s="5">
        <f t="shared" ref="Z90:Z93" si="22">+T90-X90</f>
        <v>0</v>
      </c>
      <c r="AB90">
        <f t="shared" ref="AB90:AB93" si="23">+X90/T90</f>
        <v>1</v>
      </c>
    </row>
    <row r="91" spans="1:28">
      <c r="A91" t="s">
        <v>143</v>
      </c>
      <c r="B91" t="s">
        <v>485</v>
      </c>
      <c r="D91" s="42">
        <v>255</v>
      </c>
      <c r="E91" s="42">
        <v>255</v>
      </c>
      <c r="F91" s="42">
        <v>255</v>
      </c>
      <c r="G91">
        <f>SUM(D91:F91)</f>
        <v>765</v>
      </c>
      <c r="I91" s="22">
        <f>AVERAGE(D91:F91)</f>
        <v>255</v>
      </c>
      <c r="J91" s="6">
        <f>+IFR!AD91</f>
        <v>2.3041608024197763E-2</v>
      </c>
      <c r="K91" s="14">
        <f t="shared" si="16"/>
        <v>0.95</v>
      </c>
      <c r="L91" s="22">
        <f>+I91*K91</f>
        <v>242.25</v>
      </c>
      <c r="M91" s="14">
        <v>1</v>
      </c>
      <c r="N91" s="14">
        <v>1</v>
      </c>
      <c r="P91" s="22">
        <f>+L91*M91*N91</f>
        <v>242.25</v>
      </c>
      <c r="R91" s="3">
        <f t="shared" si="17"/>
        <v>3.7855604374425415E-2</v>
      </c>
      <c r="T91" s="5">
        <f>+R91*(assessment!$J$272*assessment!$E$3)</f>
        <v>292886.32114933507</v>
      </c>
      <c r="V91" s="6">
        <f>+T91/payroll!F91</f>
        <v>6.2326491198067306E-4</v>
      </c>
      <c r="X91" s="5">
        <f>IF(V91&lt;$X$2,T91, +payroll!F91 * $X$2)</f>
        <v>292886.32114933507</v>
      </c>
      <c r="Z91" s="5">
        <f>+T91-X91</f>
        <v>0</v>
      </c>
      <c r="AB91">
        <f>+X91/T91</f>
        <v>1</v>
      </c>
    </row>
    <row r="92" spans="1:28">
      <c r="A92" t="s">
        <v>144</v>
      </c>
      <c r="B92" t="s">
        <v>145</v>
      </c>
      <c r="D92" s="42">
        <v>1</v>
      </c>
      <c r="E92" s="42">
        <v>3</v>
      </c>
      <c r="F92" s="42">
        <v>2</v>
      </c>
      <c r="G92">
        <f>SUM(D92:F92)</f>
        <v>6</v>
      </c>
      <c r="I92" s="22">
        <f>AVERAGE(D92:F92)</f>
        <v>2</v>
      </c>
      <c r="J92" s="6">
        <f>+IFR!AD92</f>
        <v>2.1666666666666667E-2</v>
      </c>
      <c r="K92" s="14">
        <f t="shared" si="16"/>
        <v>0.95</v>
      </c>
      <c r="L92" s="22">
        <f>+I92*K92</f>
        <v>1.9</v>
      </c>
      <c r="M92" s="14">
        <v>1</v>
      </c>
      <c r="N92" s="14">
        <v>1</v>
      </c>
      <c r="P92" s="22">
        <f>+L92*M92*N92</f>
        <v>1.9</v>
      </c>
      <c r="R92" s="3">
        <f t="shared" si="17"/>
        <v>2.9690670097588562E-4</v>
      </c>
      <c r="T92" s="5">
        <f>+R92*(assessment!$J$272*assessment!$E$3)</f>
        <v>2297.14761685753</v>
      </c>
      <c r="V92" s="6">
        <f>+T92/payroll!F92</f>
        <v>2.4972560758936566E-3</v>
      </c>
      <c r="X92" s="5">
        <f>IF(V92&lt;$X$2,T92, +payroll!F92 * $X$2)</f>
        <v>2297.14761685753</v>
      </c>
      <c r="Z92" s="5">
        <f>+T92-X92</f>
        <v>0</v>
      </c>
      <c r="AB92">
        <f>+X92/T92</f>
        <v>1</v>
      </c>
    </row>
    <row r="93" spans="1:28">
      <c r="A93" t="s">
        <v>484</v>
      </c>
      <c r="B93" t="s">
        <v>489</v>
      </c>
      <c r="D93" s="42">
        <v>69</v>
      </c>
      <c r="E93" s="42">
        <v>54</v>
      </c>
      <c r="F93" s="42">
        <v>66</v>
      </c>
      <c r="G93">
        <f t="shared" si="18"/>
        <v>189</v>
      </c>
      <c r="I93" s="22">
        <f t="shared" si="19"/>
        <v>63</v>
      </c>
      <c r="J93" s="6">
        <f>+IFR!AD93</f>
        <v>3.5041424985650049E-2</v>
      </c>
      <c r="K93" s="14">
        <f t="shared" si="16"/>
        <v>1</v>
      </c>
      <c r="L93" s="22">
        <f t="shared" si="20"/>
        <v>63</v>
      </c>
      <c r="M93" s="14">
        <v>1</v>
      </c>
      <c r="N93" s="14">
        <v>1</v>
      </c>
      <c r="P93" s="22">
        <f t="shared" si="21"/>
        <v>63</v>
      </c>
      <c r="R93" s="3">
        <f t="shared" si="17"/>
        <v>9.84480113762147E-3</v>
      </c>
      <c r="T93" s="5">
        <f>+R93*(assessment!$J$272*assessment!$E$3)</f>
        <v>76168.578874749684</v>
      </c>
      <c r="V93" s="6">
        <f>+T93/payroll!F93</f>
        <v>1.0175129736042965E-3</v>
      </c>
      <c r="X93" s="5">
        <f>IF(V93&lt;$X$2,T93, +payroll!F93 * $X$2)</f>
        <v>76168.578874749684</v>
      </c>
      <c r="Z93" s="5">
        <f t="shared" si="22"/>
        <v>0</v>
      </c>
      <c r="AB93">
        <f t="shared" si="23"/>
        <v>1</v>
      </c>
    </row>
    <row r="94" spans="1:28">
      <c r="A94" t="s">
        <v>506</v>
      </c>
      <c r="B94" t="s">
        <v>547</v>
      </c>
      <c r="D94" s="42">
        <v>0</v>
      </c>
      <c r="E94" s="42">
        <v>0</v>
      </c>
      <c r="F94" s="42">
        <v>1</v>
      </c>
      <c r="G94">
        <f>SUM(D94:F94)</f>
        <v>1</v>
      </c>
      <c r="I94" s="22">
        <f>AVERAGE(D94:F94)</f>
        <v>0.33333333333333331</v>
      </c>
      <c r="J94" s="6">
        <f>+IFR!AD94</f>
        <v>5.0000000000000001E-3</v>
      </c>
      <c r="K94" s="14">
        <f t="shared" si="16"/>
        <v>0.95</v>
      </c>
      <c r="L94" s="22">
        <f>+I94*K94</f>
        <v>0.31666666666666665</v>
      </c>
      <c r="M94" s="14">
        <v>1</v>
      </c>
      <c r="N94" s="14">
        <v>1</v>
      </c>
      <c r="P94" s="22">
        <f>+L94*M94*N94</f>
        <v>0.31666666666666665</v>
      </c>
      <c r="R94" s="3">
        <f t="shared" si="17"/>
        <v>4.9484450162647599E-5</v>
      </c>
      <c r="T94" s="5">
        <f>+R94*(assessment!$J$272*assessment!$E$3)</f>
        <v>382.85793614292163</v>
      </c>
      <c r="V94" s="6">
        <f>+T94/payroll!F94</f>
        <v>1.2578944633294772E-4</v>
      </c>
      <c r="X94" s="5">
        <f>IF(V94&lt;$X$2,T94, +payroll!F94 * $X$2)</f>
        <v>382.85793614292163</v>
      </c>
      <c r="Z94" s="5">
        <f>+T94-X94</f>
        <v>0</v>
      </c>
      <c r="AB94">
        <f>+X94/T94</f>
        <v>1</v>
      </c>
    </row>
    <row r="95" spans="1:28">
      <c r="A95" t="s">
        <v>146</v>
      </c>
      <c r="B95" t="s">
        <v>147</v>
      </c>
      <c r="D95" s="42">
        <v>18</v>
      </c>
      <c r="E95" s="42">
        <v>8</v>
      </c>
      <c r="F95" s="42">
        <v>10</v>
      </c>
      <c r="G95">
        <f t="shared" si="10"/>
        <v>36</v>
      </c>
      <c r="I95" s="22">
        <f t="shared" si="11"/>
        <v>12</v>
      </c>
      <c r="J95" s="6">
        <f>+IFR!AD95</f>
        <v>1.741477577111834E-2</v>
      </c>
      <c r="K95" s="14">
        <f t="shared" si="16"/>
        <v>0.95</v>
      </c>
      <c r="L95" s="22">
        <f t="shared" si="12"/>
        <v>11.399999999999999</v>
      </c>
      <c r="M95" s="14">
        <v>1</v>
      </c>
      <c r="N95" s="14">
        <v>1</v>
      </c>
      <c r="P95" s="22">
        <f t="shared" si="13"/>
        <v>11.399999999999999</v>
      </c>
      <c r="R95" s="3">
        <f t="shared" si="17"/>
        <v>1.7814402058553135E-3</v>
      </c>
      <c r="T95" s="5">
        <f>+R95*(assessment!$J$272*assessment!$E$3)</f>
        <v>13782.885701145178</v>
      </c>
      <c r="V95" s="6">
        <f>+T95/payroll!F95</f>
        <v>4.1654351170056236E-4</v>
      </c>
      <c r="X95" s="5">
        <f>IF(V95&lt;$X$2,T95, +payroll!F95 * $X$2)</f>
        <v>13782.885701145178</v>
      </c>
      <c r="Z95" s="5">
        <f t="shared" si="14"/>
        <v>0</v>
      </c>
      <c r="AB95">
        <f t="shared" si="15"/>
        <v>1</v>
      </c>
    </row>
    <row r="96" spans="1:28">
      <c r="A96" t="s">
        <v>148</v>
      </c>
      <c r="B96" t="s">
        <v>149</v>
      </c>
      <c r="D96" s="42">
        <v>14</v>
      </c>
      <c r="E96" s="42">
        <v>7</v>
      </c>
      <c r="F96" s="42">
        <v>10</v>
      </c>
      <c r="G96">
        <f t="shared" si="10"/>
        <v>31</v>
      </c>
      <c r="I96" s="22">
        <f t="shared" si="11"/>
        <v>10.333333333333334</v>
      </c>
      <c r="J96" s="6">
        <f>+IFR!AD96</f>
        <v>6.1291921532284299E-2</v>
      </c>
      <c r="K96" s="14">
        <f t="shared" si="16"/>
        <v>1</v>
      </c>
      <c r="L96" s="22">
        <f t="shared" si="12"/>
        <v>10.333333333333334</v>
      </c>
      <c r="M96" s="14">
        <v>1</v>
      </c>
      <c r="N96" s="14">
        <v>1</v>
      </c>
      <c r="P96" s="22">
        <f t="shared" si="13"/>
        <v>10.333333333333334</v>
      </c>
      <c r="R96" s="3">
        <f t="shared" si="17"/>
        <v>1.6147557421495535E-3</v>
      </c>
      <c r="T96" s="5">
        <f>+R96*(assessment!$J$272*assessment!$E$3)</f>
        <v>12493.258968874286</v>
      </c>
      <c r="V96" s="6">
        <f>+T96/payroll!F96</f>
        <v>1.5227507762938296E-3</v>
      </c>
      <c r="X96" s="5">
        <f>IF(V96&lt;$X$2,T96, +payroll!F96 * $X$2)</f>
        <v>12493.258968874286</v>
      </c>
      <c r="Z96" s="5">
        <f t="shared" si="14"/>
        <v>0</v>
      </c>
      <c r="AB96">
        <f t="shared" si="15"/>
        <v>1</v>
      </c>
    </row>
    <row r="97" spans="1:28">
      <c r="A97" t="s">
        <v>150</v>
      </c>
      <c r="B97" t="s">
        <v>151</v>
      </c>
      <c r="D97" s="42">
        <v>0</v>
      </c>
      <c r="E97" s="42">
        <v>0</v>
      </c>
      <c r="F97" s="42">
        <v>0</v>
      </c>
      <c r="G97">
        <f t="shared" si="10"/>
        <v>0</v>
      </c>
      <c r="I97" s="22">
        <f t="shared" si="11"/>
        <v>0</v>
      </c>
      <c r="J97" s="6">
        <f>+IFR!AD97</f>
        <v>0</v>
      </c>
      <c r="K97" s="14">
        <f t="shared" si="16"/>
        <v>0.95</v>
      </c>
      <c r="L97" s="22">
        <f t="shared" si="12"/>
        <v>0</v>
      </c>
      <c r="M97" s="14">
        <v>1</v>
      </c>
      <c r="N97" s="14">
        <v>1</v>
      </c>
      <c r="P97" s="22">
        <f t="shared" si="13"/>
        <v>0</v>
      </c>
      <c r="R97" s="3">
        <f t="shared" si="17"/>
        <v>0</v>
      </c>
      <c r="T97" s="5">
        <f>+R97*(assessment!$J$272*assessment!$E$3)</f>
        <v>0</v>
      </c>
      <c r="V97" s="6">
        <f>+T97/payroll!F97</f>
        <v>0</v>
      </c>
      <c r="X97" s="5">
        <f>IF(V97&lt;$X$2,T97, +payroll!F97 * $X$2)</f>
        <v>0</v>
      </c>
      <c r="Z97" s="5">
        <f t="shared" si="14"/>
        <v>0</v>
      </c>
      <c r="AB97" t="e">
        <f t="shared" si="15"/>
        <v>#DIV/0!</v>
      </c>
    </row>
    <row r="98" spans="1:28">
      <c r="A98" t="s">
        <v>152</v>
      </c>
      <c r="B98" t="s">
        <v>153</v>
      </c>
      <c r="D98" s="42">
        <v>3</v>
      </c>
      <c r="E98" s="42">
        <v>1</v>
      </c>
      <c r="F98" s="42">
        <v>1</v>
      </c>
      <c r="G98">
        <f t="shared" si="10"/>
        <v>5</v>
      </c>
      <c r="I98" s="22">
        <f t="shared" si="11"/>
        <v>1.6666666666666667</v>
      </c>
      <c r="J98" s="6">
        <f>+IFR!AD98</f>
        <v>4.830877439022269E-3</v>
      </c>
      <c r="K98" s="14">
        <f t="shared" si="16"/>
        <v>0.95</v>
      </c>
      <c r="L98" s="22">
        <f t="shared" si="12"/>
        <v>1.5833333333333333</v>
      </c>
      <c r="M98" s="14">
        <v>1</v>
      </c>
      <c r="N98" s="14">
        <v>1</v>
      </c>
      <c r="P98" s="22">
        <f t="shared" si="13"/>
        <v>1.5833333333333333</v>
      </c>
      <c r="R98" s="3">
        <f t="shared" ref="R98:R129" si="24">+P98/$P$264</f>
        <v>2.4742225081323798E-4</v>
      </c>
      <c r="T98" s="5">
        <f>+R98*(assessment!$J$272*assessment!$E$3)</f>
        <v>1914.289680714608</v>
      </c>
      <c r="V98" s="6">
        <f>+T98/payroll!F98</f>
        <v>1.0556959098026937E-4</v>
      </c>
      <c r="X98" s="5">
        <f>IF(V98&lt;$X$2,T98, +payroll!F98 * $X$2)</f>
        <v>1914.289680714608</v>
      </c>
      <c r="Z98" s="5">
        <f t="shared" si="14"/>
        <v>0</v>
      </c>
      <c r="AB98">
        <f t="shared" si="15"/>
        <v>1</v>
      </c>
    </row>
    <row r="99" spans="1:28">
      <c r="A99" t="s">
        <v>154</v>
      </c>
      <c r="B99" t="s">
        <v>479</v>
      </c>
      <c r="D99" s="42">
        <v>14</v>
      </c>
      <c r="E99" s="42">
        <v>10</v>
      </c>
      <c r="F99" s="42">
        <v>15</v>
      </c>
      <c r="G99">
        <f t="shared" si="10"/>
        <v>39</v>
      </c>
      <c r="I99" s="22">
        <f t="shared" si="11"/>
        <v>13</v>
      </c>
      <c r="J99" s="6">
        <f>+IFR!AD99</f>
        <v>4.9138375216658597E-3</v>
      </c>
      <c r="K99" s="14">
        <f t="shared" ref="K99:K129" si="25">IF(+J99&lt;$E$267,$I$267,IF(J99&gt;$E$269,$I$269,$I$268))</f>
        <v>0.95</v>
      </c>
      <c r="L99" s="22">
        <f t="shared" si="12"/>
        <v>12.35</v>
      </c>
      <c r="M99" s="14">
        <v>1</v>
      </c>
      <c r="N99" s="14">
        <v>1</v>
      </c>
      <c r="P99" s="22">
        <f t="shared" si="13"/>
        <v>12.35</v>
      </c>
      <c r="R99" s="3">
        <f t="shared" si="24"/>
        <v>1.9298935563432564E-3</v>
      </c>
      <c r="T99" s="5">
        <f>+R99*(assessment!$J$272*assessment!$E$3)</f>
        <v>14931.459509573944</v>
      </c>
      <c r="V99" s="6">
        <f>+T99/payroll!F99</f>
        <v>9.3177121873934087E-5</v>
      </c>
      <c r="X99" s="5">
        <f>IF(V99&lt;$X$2,T99, +payroll!F99 * $X$2)</f>
        <v>14931.459509573944</v>
      </c>
      <c r="Z99" s="5">
        <f t="shared" si="14"/>
        <v>0</v>
      </c>
      <c r="AB99">
        <f t="shared" si="15"/>
        <v>1</v>
      </c>
    </row>
    <row r="100" spans="1:28">
      <c r="A100" t="s">
        <v>155</v>
      </c>
      <c r="B100" t="s">
        <v>537</v>
      </c>
      <c r="D100" s="42">
        <v>0</v>
      </c>
      <c r="E100" s="42">
        <v>1</v>
      </c>
      <c r="F100" s="42">
        <v>2</v>
      </c>
      <c r="G100">
        <f>SUM(D100:F100)</f>
        <v>3</v>
      </c>
      <c r="I100" s="22">
        <f>AVERAGE(D100:F100)</f>
        <v>1</v>
      </c>
      <c r="J100" s="6">
        <f>+IFR!AD100</f>
        <v>1.3333333333333334E-2</v>
      </c>
      <c r="K100" s="14">
        <f t="shared" si="25"/>
        <v>0.95</v>
      </c>
      <c r="L100" s="22">
        <f>+I100*K100</f>
        <v>0.95</v>
      </c>
      <c r="M100" s="14">
        <v>1</v>
      </c>
      <c r="N100" s="14">
        <v>1</v>
      </c>
      <c r="P100" s="22">
        <f>+L100*M100*N100</f>
        <v>0.95</v>
      </c>
      <c r="R100" s="3">
        <f t="shared" si="24"/>
        <v>1.4845335048794281E-4</v>
      </c>
      <c r="T100" s="5">
        <f>+R100*(assessment!$J$272*assessment!$E$3)</f>
        <v>1148.573808428765</v>
      </c>
      <c r="V100" s="6">
        <f>+T100/payroll!F100</f>
        <v>2.9264172071527159E-4</v>
      </c>
      <c r="X100" s="5">
        <f>IF(V100&lt;$X$2,T100, +payroll!F100 * $X$2)</f>
        <v>1148.573808428765</v>
      </c>
      <c r="Z100" s="5">
        <f>+T100-X100</f>
        <v>0</v>
      </c>
      <c r="AB100">
        <f>+X100/T100</f>
        <v>1</v>
      </c>
    </row>
    <row r="101" spans="1:28">
      <c r="A101" t="s">
        <v>509</v>
      </c>
      <c r="B101" t="s">
        <v>510</v>
      </c>
      <c r="D101" s="42">
        <v>6</v>
      </c>
      <c r="E101" s="42">
        <v>7</v>
      </c>
      <c r="F101" s="42">
        <v>6</v>
      </c>
      <c r="G101">
        <f>SUM(D101:F101)</f>
        <v>19</v>
      </c>
      <c r="I101" s="22">
        <f>AVERAGE(D101:F101)</f>
        <v>6.333333333333333</v>
      </c>
      <c r="J101" s="6">
        <f>+IFR!AD101</f>
        <v>8.8531877242360793E-3</v>
      </c>
      <c r="K101" s="14">
        <f t="shared" si="25"/>
        <v>0.95</v>
      </c>
      <c r="L101" s="22">
        <f>+I101*K101</f>
        <v>6.0166666666666657</v>
      </c>
      <c r="M101" s="14">
        <v>1</v>
      </c>
      <c r="N101" s="14">
        <v>1</v>
      </c>
      <c r="P101" s="22">
        <f>+L101*M101*N101</f>
        <v>6.0166666666666657</v>
      </c>
      <c r="R101" s="3">
        <f t="shared" si="24"/>
        <v>9.4020455309030428E-4</v>
      </c>
      <c r="T101" s="5">
        <f>+R101*(assessment!$J$272*assessment!$E$3)</f>
        <v>7274.3007867155102</v>
      </c>
      <c r="V101" s="6">
        <f>+T101/payroll!F101</f>
        <v>1.9256968169275196E-4</v>
      </c>
      <c r="X101" s="5">
        <f>IF(V101&lt;$X$2,T101, +payroll!F101 * $X$2)</f>
        <v>7274.3007867155102</v>
      </c>
      <c r="Z101" s="5">
        <f>+T101-X101</f>
        <v>0</v>
      </c>
      <c r="AB101">
        <f>+X101/T101</f>
        <v>1</v>
      </c>
    </row>
    <row r="102" spans="1:28">
      <c r="A102" t="s">
        <v>553</v>
      </c>
      <c r="B102" t="s">
        <v>554</v>
      </c>
      <c r="D102" s="42">
        <v>476</v>
      </c>
      <c r="E102" s="42">
        <v>499</v>
      </c>
      <c r="F102" s="42">
        <v>490</v>
      </c>
      <c r="G102">
        <f t="shared" ref="G102:G164" si="26">SUM(D102:F102)</f>
        <v>1465</v>
      </c>
      <c r="I102" s="22">
        <f t="shared" ref="I102:I165" si="27">AVERAGE(D102:F102)</f>
        <v>488.33333333333331</v>
      </c>
      <c r="J102" s="6">
        <f>+IFR!AD102</f>
        <v>0.18968191357641997</v>
      </c>
      <c r="K102" s="14">
        <f t="shared" si="25"/>
        <v>1.05</v>
      </c>
      <c r="L102" s="22">
        <f t="shared" ref="L102:L165" si="28">+I102*K102</f>
        <v>512.75</v>
      </c>
      <c r="M102" s="14">
        <v>1</v>
      </c>
      <c r="N102" s="14">
        <v>1</v>
      </c>
      <c r="P102" s="22">
        <f t="shared" ref="P102:P164" si="29">+L102*M102*N102</f>
        <v>512.75</v>
      </c>
      <c r="R102" s="3">
        <f t="shared" si="24"/>
        <v>8.0125742592308077E-2</v>
      </c>
      <c r="T102" s="5">
        <f>+R102*(assessment!$J$272*assessment!$E$3)</f>
        <v>619927.6002861571</v>
      </c>
      <c r="V102" s="6">
        <f>+T102/payroll!F102</f>
        <v>5.4062061716980189E-3</v>
      </c>
      <c r="X102" s="5">
        <f>IF(V102&lt;$X$2,T102, +payroll!F102 * $X$2)</f>
        <v>619927.6002861571</v>
      </c>
      <c r="Z102" s="5">
        <f t="shared" ref="Z102:Z164" si="30">+T102-X102</f>
        <v>0</v>
      </c>
      <c r="AB102">
        <f t="shared" ref="AB102:AB164" si="31">+X102/T102</f>
        <v>1</v>
      </c>
    </row>
    <row r="103" spans="1:28">
      <c r="A103" t="s">
        <v>156</v>
      </c>
      <c r="B103" t="s">
        <v>157</v>
      </c>
      <c r="D103" s="42">
        <v>1725</v>
      </c>
      <c r="E103" s="42">
        <v>1711</v>
      </c>
      <c r="F103" s="42">
        <v>1805</v>
      </c>
      <c r="G103">
        <f t="shared" si="26"/>
        <v>5241</v>
      </c>
      <c r="I103" s="22">
        <f t="shared" si="27"/>
        <v>1747</v>
      </c>
      <c r="J103" s="6">
        <f>+IFR!AD103</f>
        <v>4.6559893165697343E-2</v>
      </c>
      <c r="K103" s="14">
        <f t="shared" si="25"/>
        <v>1</v>
      </c>
      <c r="L103" s="22">
        <f t="shared" si="28"/>
        <v>1747</v>
      </c>
      <c r="M103" s="14">
        <v>1</v>
      </c>
      <c r="N103" s="14">
        <v>1</v>
      </c>
      <c r="P103" s="22">
        <f t="shared" si="29"/>
        <v>1747</v>
      </c>
      <c r="R103" s="3">
        <f t="shared" si="24"/>
        <v>0.27299789821309062</v>
      </c>
      <c r="T103" s="5">
        <f>+R103*(assessment!$J$272*assessment!$E$3)</f>
        <v>2112166.7824474238</v>
      </c>
      <c r="V103" s="6">
        <f>+T103/payroll!F103</f>
        <v>1.4404713085425392E-3</v>
      </c>
      <c r="X103" s="5">
        <f>IF(V103&lt;$X$2,T103, +payroll!F103 * $X$2)</f>
        <v>2112166.7824474238</v>
      </c>
      <c r="Z103" s="5">
        <f t="shared" si="30"/>
        <v>0</v>
      </c>
      <c r="AB103">
        <f t="shared" si="31"/>
        <v>1</v>
      </c>
    </row>
    <row r="104" spans="1:28">
      <c r="A104" t="s">
        <v>514</v>
      </c>
      <c r="B104" t="s">
        <v>513</v>
      </c>
      <c r="D104" s="42">
        <v>14</v>
      </c>
      <c r="E104" s="42">
        <v>13</v>
      </c>
      <c r="F104" s="42">
        <v>15</v>
      </c>
      <c r="G104">
        <f t="shared" si="26"/>
        <v>42</v>
      </c>
      <c r="I104" s="22">
        <f>AVERAGE(D104:F104)</f>
        <v>14</v>
      </c>
      <c r="J104" s="6">
        <f>+IFR!AD104</f>
        <v>1.4304868162290004E-2</v>
      </c>
      <c r="K104" s="14">
        <f t="shared" si="25"/>
        <v>0.95</v>
      </c>
      <c r="L104" s="22">
        <f>+I104*K104</f>
        <v>13.299999999999999</v>
      </c>
      <c r="M104" s="14">
        <v>1</v>
      </c>
      <c r="N104" s="14">
        <v>1</v>
      </c>
      <c r="P104" s="22">
        <f>+L104*M104*N104</f>
        <v>13.299999999999999</v>
      </c>
      <c r="R104" s="3">
        <f t="shared" si="24"/>
        <v>2.0783469068311991E-3</v>
      </c>
      <c r="T104" s="5">
        <f>+R104*(assessment!$J$272*assessment!$E$3)</f>
        <v>16080.033318002708</v>
      </c>
      <c r="V104" s="6">
        <f>+T104/payroll!F104</f>
        <v>3.2372051019554011E-4</v>
      </c>
      <c r="X104" s="5">
        <f>IF(V104&lt;$X$2,T104, +payroll!F104 * $X$2)</f>
        <v>16080.033318002708</v>
      </c>
      <c r="Z104" s="5">
        <f>+T104-X104</f>
        <v>0</v>
      </c>
      <c r="AB104">
        <f>+X104/T104</f>
        <v>1</v>
      </c>
    </row>
    <row r="105" spans="1:28">
      <c r="A105" t="s">
        <v>158</v>
      </c>
      <c r="B105" t="s">
        <v>159</v>
      </c>
      <c r="D105" s="42">
        <v>3</v>
      </c>
      <c r="E105" s="42">
        <v>5</v>
      </c>
      <c r="F105" s="42">
        <v>4</v>
      </c>
      <c r="G105">
        <f t="shared" si="26"/>
        <v>12</v>
      </c>
      <c r="I105" s="22">
        <f t="shared" si="27"/>
        <v>4</v>
      </c>
      <c r="J105" s="6">
        <f>+IFR!AD105</f>
        <v>5.1813700666246644E-3</v>
      </c>
      <c r="K105" s="14">
        <f t="shared" si="25"/>
        <v>0.95</v>
      </c>
      <c r="L105" s="22">
        <f t="shared" si="28"/>
        <v>3.8</v>
      </c>
      <c r="M105" s="14">
        <v>1</v>
      </c>
      <c r="N105" s="14">
        <v>1</v>
      </c>
      <c r="P105" s="22">
        <f t="shared" si="29"/>
        <v>3.8</v>
      </c>
      <c r="R105" s="3">
        <f t="shared" si="24"/>
        <v>5.9381340195177124E-4</v>
      </c>
      <c r="T105" s="5">
        <f>+R105*(assessment!$J$272*assessment!$E$3)</f>
        <v>4594.29523371506</v>
      </c>
      <c r="V105" s="6">
        <f>+T105/payroll!F105</f>
        <v>7.2716019266107264E-5</v>
      </c>
      <c r="X105" s="5">
        <f>IF(V105&lt;$X$2,T105, +payroll!F105 * $X$2)</f>
        <v>4594.29523371506</v>
      </c>
      <c r="Z105" s="5">
        <f t="shared" si="30"/>
        <v>0</v>
      </c>
      <c r="AB105">
        <f t="shared" si="31"/>
        <v>1</v>
      </c>
    </row>
    <row r="106" spans="1:28">
      <c r="A106" t="s">
        <v>160</v>
      </c>
      <c r="B106" t="s">
        <v>161</v>
      </c>
      <c r="D106" s="42">
        <v>23</v>
      </c>
      <c r="E106" s="42">
        <v>19</v>
      </c>
      <c r="F106" s="42">
        <v>21</v>
      </c>
      <c r="G106">
        <f t="shared" si="26"/>
        <v>63</v>
      </c>
      <c r="I106" s="22">
        <f t="shared" si="27"/>
        <v>21</v>
      </c>
      <c r="J106" s="6">
        <f>+IFR!AD106</f>
        <v>1.6256746486734065E-2</v>
      </c>
      <c r="K106" s="14">
        <f t="shared" si="25"/>
        <v>0.95</v>
      </c>
      <c r="L106" s="22">
        <f t="shared" si="28"/>
        <v>19.95</v>
      </c>
      <c r="M106" s="14">
        <v>1</v>
      </c>
      <c r="N106" s="14">
        <v>1</v>
      </c>
      <c r="P106" s="22">
        <f t="shared" si="29"/>
        <v>19.95</v>
      </c>
      <c r="R106" s="3">
        <f t="shared" si="24"/>
        <v>3.1175203602467989E-3</v>
      </c>
      <c r="T106" s="5">
        <f>+R106*(assessment!$J$272*assessment!$E$3)</f>
        <v>24120.049977004066</v>
      </c>
      <c r="V106" s="6">
        <f>+T106/payroll!F106</f>
        <v>3.5216062018744097E-4</v>
      </c>
      <c r="X106" s="5">
        <f>IF(V106&lt;$X$2,T106, +payroll!F106 * $X$2)</f>
        <v>24120.049977004066</v>
      </c>
      <c r="Z106" s="5">
        <f t="shared" si="30"/>
        <v>0</v>
      </c>
      <c r="AB106">
        <f t="shared" si="31"/>
        <v>1</v>
      </c>
    </row>
    <row r="107" spans="1:28">
      <c r="A107" t="s">
        <v>162</v>
      </c>
      <c r="B107" t="s">
        <v>163</v>
      </c>
      <c r="D107" s="42">
        <v>33</v>
      </c>
      <c r="E107" s="42">
        <v>34</v>
      </c>
      <c r="F107" s="42">
        <v>44</v>
      </c>
      <c r="G107">
        <f t="shared" si="26"/>
        <v>111</v>
      </c>
      <c r="I107" s="22">
        <f t="shared" si="27"/>
        <v>37</v>
      </c>
      <c r="J107" s="6">
        <f>+IFR!AD107</f>
        <v>2.3474462336232047E-2</v>
      </c>
      <c r="K107" s="14">
        <f t="shared" si="25"/>
        <v>0.95</v>
      </c>
      <c r="L107" s="22">
        <f t="shared" si="28"/>
        <v>35.15</v>
      </c>
      <c r="M107" s="14">
        <v>1</v>
      </c>
      <c r="N107" s="14">
        <v>1</v>
      </c>
      <c r="P107" s="22">
        <f t="shared" si="29"/>
        <v>35.15</v>
      </c>
      <c r="R107" s="3">
        <f t="shared" si="24"/>
        <v>5.4927739680538839E-3</v>
      </c>
      <c r="T107" s="5">
        <f>+R107*(assessment!$J$272*assessment!$E$3)</f>
        <v>42497.230911864302</v>
      </c>
      <c r="V107" s="6">
        <f>+T107/payroll!F107</f>
        <v>5.8308543358750878E-4</v>
      </c>
      <c r="X107" s="5">
        <f>IF(V107&lt;$X$2,T107, +payroll!F107 * $X$2)</f>
        <v>42497.230911864302</v>
      </c>
      <c r="Z107" s="5">
        <f t="shared" si="30"/>
        <v>0</v>
      </c>
      <c r="AB107">
        <f t="shared" si="31"/>
        <v>1</v>
      </c>
    </row>
    <row r="108" spans="1:28">
      <c r="A108" t="s">
        <v>164</v>
      </c>
      <c r="B108" t="s">
        <v>165</v>
      </c>
      <c r="D108" s="42">
        <v>78</v>
      </c>
      <c r="E108" s="42">
        <v>91</v>
      </c>
      <c r="F108" s="42">
        <v>97</v>
      </c>
      <c r="G108">
        <f t="shared" si="26"/>
        <v>266</v>
      </c>
      <c r="I108" s="22">
        <f t="shared" si="27"/>
        <v>88.666666666666671</v>
      </c>
      <c r="J108" s="6">
        <f>+IFR!AD108</f>
        <v>1.3734021063126595E-2</v>
      </c>
      <c r="K108" s="14">
        <f t="shared" si="25"/>
        <v>0.95</v>
      </c>
      <c r="L108" s="22">
        <f t="shared" si="28"/>
        <v>84.233333333333334</v>
      </c>
      <c r="M108" s="14">
        <v>1</v>
      </c>
      <c r="N108" s="14">
        <v>1</v>
      </c>
      <c r="P108" s="22">
        <f t="shared" si="29"/>
        <v>84.233333333333334</v>
      </c>
      <c r="R108" s="3">
        <f t="shared" si="24"/>
        <v>1.3162863743264263E-2</v>
      </c>
      <c r="T108" s="5">
        <f>+R108*(assessment!$J$272*assessment!$E$3)</f>
        <v>101840.21101401717</v>
      </c>
      <c r="V108" s="6">
        <f>+T108/payroll!F108</f>
        <v>2.2319433884457194E-4</v>
      </c>
      <c r="X108" s="5">
        <f>IF(V108&lt;$X$2,T108, +payroll!F108 * $X$2)</f>
        <v>101840.21101401717</v>
      </c>
      <c r="Z108" s="5">
        <f t="shared" si="30"/>
        <v>0</v>
      </c>
      <c r="AB108">
        <f t="shared" si="31"/>
        <v>1</v>
      </c>
    </row>
    <row r="109" spans="1:28">
      <c r="A109" t="s">
        <v>166</v>
      </c>
      <c r="B109" t="s">
        <v>167</v>
      </c>
      <c r="D109" s="42">
        <v>28</v>
      </c>
      <c r="E109" s="42">
        <v>36</v>
      </c>
      <c r="F109" s="42">
        <v>36</v>
      </c>
      <c r="G109">
        <f t="shared" si="26"/>
        <v>100</v>
      </c>
      <c r="I109" s="22">
        <f t="shared" si="27"/>
        <v>33.333333333333336</v>
      </c>
      <c r="J109" s="6">
        <f>+IFR!AD109</f>
        <v>1.9558548637925683E-2</v>
      </c>
      <c r="K109" s="14">
        <f t="shared" si="25"/>
        <v>0.95</v>
      </c>
      <c r="L109" s="22">
        <f t="shared" si="28"/>
        <v>31.666666666666668</v>
      </c>
      <c r="M109" s="14">
        <v>1</v>
      </c>
      <c r="N109" s="14">
        <v>1</v>
      </c>
      <c r="P109" s="22">
        <f t="shared" si="29"/>
        <v>31.666666666666668</v>
      </c>
      <c r="R109" s="3">
        <f t="shared" si="24"/>
        <v>4.9484450162647605E-3</v>
      </c>
      <c r="T109" s="5">
        <f>+R109*(assessment!$J$272*assessment!$E$3)</f>
        <v>38285.793614292168</v>
      </c>
      <c r="V109" s="6">
        <f>+T109/payroll!F109</f>
        <v>3.601451956285274E-4</v>
      </c>
      <c r="X109" s="5">
        <f>IF(V109&lt;$X$2,T109, +payroll!F109 * $X$2)</f>
        <v>38285.793614292168</v>
      </c>
      <c r="Z109" s="5">
        <f t="shared" si="30"/>
        <v>0</v>
      </c>
      <c r="AB109">
        <f t="shared" si="31"/>
        <v>1</v>
      </c>
    </row>
    <row r="110" spans="1:28">
      <c r="A110" t="s">
        <v>168</v>
      </c>
      <c r="B110" t="s">
        <v>169</v>
      </c>
      <c r="D110" s="42">
        <v>115</v>
      </c>
      <c r="E110" s="42">
        <v>109</v>
      </c>
      <c r="F110" s="42">
        <v>95</v>
      </c>
      <c r="G110">
        <f t="shared" si="26"/>
        <v>319</v>
      </c>
      <c r="I110" s="22">
        <f t="shared" si="27"/>
        <v>106.33333333333333</v>
      </c>
      <c r="J110" s="6">
        <f>+IFR!AD110</f>
        <v>1.5579131760881581E-2</v>
      </c>
      <c r="K110" s="14">
        <f t="shared" si="25"/>
        <v>0.95</v>
      </c>
      <c r="L110" s="22">
        <f t="shared" si="28"/>
        <v>101.01666666666665</v>
      </c>
      <c r="M110" s="14">
        <v>1</v>
      </c>
      <c r="N110" s="14">
        <v>1</v>
      </c>
      <c r="P110" s="22">
        <f t="shared" si="29"/>
        <v>101.01666666666665</v>
      </c>
      <c r="R110" s="3">
        <f t="shared" si="24"/>
        <v>1.5785539601884582E-2</v>
      </c>
      <c r="T110" s="5">
        <f>+R110*(assessment!$J$272*assessment!$E$3)</f>
        <v>122131.68162959199</v>
      </c>
      <c r="V110" s="6">
        <f>+T110/payroll!F110</f>
        <v>3.358126451165536E-4</v>
      </c>
      <c r="X110" s="5">
        <f>IF(V110&lt;$X$2,T110, +payroll!F110 * $X$2)</f>
        <v>122131.68162959199</v>
      </c>
      <c r="Z110" s="5">
        <f t="shared" si="30"/>
        <v>0</v>
      </c>
      <c r="AB110">
        <f t="shared" si="31"/>
        <v>1</v>
      </c>
    </row>
    <row r="111" spans="1:28">
      <c r="A111" t="s">
        <v>170</v>
      </c>
      <c r="B111" t="s">
        <v>171</v>
      </c>
      <c r="D111" s="42">
        <v>23</v>
      </c>
      <c r="E111" s="42">
        <v>12</v>
      </c>
      <c r="F111" s="42">
        <v>19</v>
      </c>
      <c r="G111">
        <f t="shared" si="26"/>
        <v>54</v>
      </c>
      <c r="I111" s="22">
        <f t="shared" si="27"/>
        <v>18</v>
      </c>
      <c r="J111" s="6">
        <f>+IFR!AD111</f>
        <v>1.2257722935632551E-2</v>
      </c>
      <c r="K111" s="14">
        <f t="shared" si="25"/>
        <v>0.95</v>
      </c>
      <c r="L111" s="22">
        <f t="shared" si="28"/>
        <v>17.099999999999998</v>
      </c>
      <c r="M111" s="14">
        <v>1</v>
      </c>
      <c r="N111" s="14">
        <v>1</v>
      </c>
      <c r="P111" s="22">
        <f t="shared" si="29"/>
        <v>17.099999999999998</v>
      </c>
      <c r="R111" s="3">
        <f t="shared" si="24"/>
        <v>2.6721603087829704E-3</v>
      </c>
      <c r="T111" s="5">
        <f>+R111*(assessment!$J$272*assessment!$E$3)</f>
        <v>20674.328551717768</v>
      </c>
      <c r="V111" s="6">
        <f>+T111/payroll!F111</f>
        <v>2.3717439763199728E-4</v>
      </c>
      <c r="X111" s="5">
        <f>IF(V111&lt;$X$2,T111, +payroll!F111 * $X$2)</f>
        <v>20674.328551717768</v>
      </c>
      <c r="Z111" s="5">
        <f t="shared" si="30"/>
        <v>0</v>
      </c>
      <c r="AB111">
        <f t="shared" si="31"/>
        <v>1</v>
      </c>
    </row>
    <row r="112" spans="1:28">
      <c r="A112" t="s">
        <v>172</v>
      </c>
      <c r="B112" t="s">
        <v>173</v>
      </c>
      <c r="D112" s="42">
        <v>17</v>
      </c>
      <c r="E112" s="42">
        <v>11</v>
      </c>
      <c r="F112" s="42">
        <v>9</v>
      </c>
      <c r="G112">
        <f t="shared" si="26"/>
        <v>37</v>
      </c>
      <c r="I112" s="22">
        <f t="shared" si="27"/>
        <v>12.333333333333334</v>
      </c>
      <c r="J112" s="6">
        <f>+IFR!AD112</f>
        <v>1.462872296508975E-2</v>
      </c>
      <c r="K112" s="14">
        <f t="shared" si="25"/>
        <v>0.95</v>
      </c>
      <c r="L112" s="22">
        <f t="shared" si="28"/>
        <v>11.716666666666667</v>
      </c>
      <c r="M112" s="14">
        <v>1</v>
      </c>
      <c r="N112" s="14">
        <v>1</v>
      </c>
      <c r="P112" s="22">
        <f t="shared" si="29"/>
        <v>11.716666666666667</v>
      </c>
      <c r="R112" s="3">
        <f t="shared" si="24"/>
        <v>1.8309246560179614E-3</v>
      </c>
      <c r="T112" s="5">
        <f>+R112*(assessment!$J$272*assessment!$E$3)</f>
        <v>14165.743637288102</v>
      </c>
      <c r="V112" s="6">
        <f>+T112/payroll!F112</f>
        <v>3.5536361842179818E-4</v>
      </c>
      <c r="X112" s="5">
        <f>IF(V112&lt;$X$2,T112, +payroll!F112 * $X$2)</f>
        <v>14165.743637288102</v>
      </c>
      <c r="Z112" s="5">
        <f t="shared" si="30"/>
        <v>0</v>
      </c>
      <c r="AB112">
        <f t="shared" si="31"/>
        <v>1</v>
      </c>
    </row>
    <row r="113" spans="1:28">
      <c r="A113" t="s">
        <v>174</v>
      </c>
      <c r="B113" t="s">
        <v>175</v>
      </c>
      <c r="D113" s="42">
        <v>9</v>
      </c>
      <c r="E113" s="42">
        <v>5</v>
      </c>
      <c r="F113" s="42">
        <v>11</v>
      </c>
      <c r="G113">
        <f t="shared" si="26"/>
        <v>25</v>
      </c>
      <c r="I113" s="22">
        <f t="shared" si="27"/>
        <v>8.3333333333333339</v>
      </c>
      <c r="J113" s="6">
        <f>+IFR!AD113</f>
        <v>9.3256454997356821E-3</v>
      </c>
      <c r="K113" s="14">
        <f t="shared" si="25"/>
        <v>0.95</v>
      </c>
      <c r="L113" s="22">
        <f t="shared" si="28"/>
        <v>7.916666666666667</v>
      </c>
      <c r="M113" s="14">
        <v>1</v>
      </c>
      <c r="N113" s="14">
        <v>1</v>
      </c>
      <c r="P113" s="22">
        <f t="shared" si="29"/>
        <v>7.916666666666667</v>
      </c>
      <c r="R113" s="3">
        <f t="shared" si="24"/>
        <v>1.2371112540661901E-3</v>
      </c>
      <c r="T113" s="5">
        <f>+R113*(assessment!$J$272*assessment!$E$3)</f>
        <v>9571.448403573042</v>
      </c>
      <c r="V113" s="6">
        <f>+T113/payroll!F113</f>
        <v>2.1973020533476643E-4</v>
      </c>
      <c r="X113" s="5">
        <f>IF(V113&lt;$X$2,T113, +payroll!F113 * $X$2)</f>
        <v>9571.448403573042</v>
      </c>
      <c r="Z113" s="5">
        <f t="shared" si="30"/>
        <v>0</v>
      </c>
      <c r="AB113">
        <f t="shared" si="31"/>
        <v>1</v>
      </c>
    </row>
    <row r="114" spans="1:28">
      <c r="A114" t="s">
        <v>176</v>
      </c>
      <c r="B114" t="s">
        <v>538</v>
      </c>
      <c r="D114" s="42">
        <f>102-42</f>
        <v>60</v>
      </c>
      <c r="E114" s="42">
        <v>56</v>
      </c>
      <c r="F114" s="42">
        <v>50</v>
      </c>
      <c r="G114">
        <f t="shared" si="26"/>
        <v>166</v>
      </c>
      <c r="I114" s="22">
        <f t="shared" si="27"/>
        <v>55.333333333333336</v>
      </c>
      <c r="J114" s="6">
        <f>+IFR!AD114</f>
        <v>1.2698828401527218E-2</v>
      </c>
      <c r="K114" s="14">
        <f t="shared" si="25"/>
        <v>0.95</v>
      </c>
      <c r="L114" s="22">
        <f t="shared" si="28"/>
        <v>52.56666666666667</v>
      </c>
      <c r="M114" s="14">
        <v>1</v>
      </c>
      <c r="N114" s="14">
        <v>1</v>
      </c>
      <c r="P114" s="22">
        <f t="shared" si="29"/>
        <v>52.56666666666667</v>
      </c>
      <c r="R114" s="3">
        <f t="shared" si="24"/>
        <v>8.2144187269995034E-3</v>
      </c>
      <c r="T114" s="5">
        <f>+R114*(assessment!$J$272*assessment!$E$3)</f>
        <v>63554.417399725011</v>
      </c>
      <c r="V114" s="6">
        <f>+T114/payroll!F114</f>
        <v>2.1214034109655634E-4</v>
      </c>
      <c r="X114" s="5">
        <f>IF(V114&lt;$X$2,T114, +payroll!F114 * $X$2)</f>
        <v>63554.417399725011</v>
      </c>
      <c r="Z114" s="5">
        <f t="shared" si="30"/>
        <v>0</v>
      </c>
      <c r="AB114">
        <f t="shared" si="31"/>
        <v>1</v>
      </c>
    </row>
    <row r="115" spans="1:28">
      <c r="A115" t="s">
        <v>177</v>
      </c>
      <c r="B115" t="s">
        <v>178</v>
      </c>
      <c r="D115" s="42">
        <v>58</v>
      </c>
      <c r="E115" s="42">
        <v>78</v>
      </c>
      <c r="F115" s="42">
        <v>67</v>
      </c>
      <c r="G115">
        <f t="shared" si="26"/>
        <v>203</v>
      </c>
      <c r="I115" s="22">
        <f t="shared" si="27"/>
        <v>67.666666666666671</v>
      </c>
      <c r="J115" s="6">
        <f>+IFR!AD115</f>
        <v>1.393843743933843E-2</v>
      </c>
      <c r="K115" s="14">
        <f t="shared" si="25"/>
        <v>0.95</v>
      </c>
      <c r="L115" s="22">
        <f t="shared" si="28"/>
        <v>64.283333333333331</v>
      </c>
      <c r="M115" s="14">
        <v>1</v>
      </c>
      <c r="N115" s="14">
        <v>1</v>
      </c>
      <c r="P115" s="22">
        <f t="shared" si="29"/>
        <v>64.283333333333331</v>
      </c>
      <c r="R115" s="3">
        <f t="shared" si="24"/>
        <v>1.0045343383017463E-2</v>
      </c>
      <c r="T115" s="5">
        <f>+R115*(assessment!$J$272*assessment!$E$3)</f>
        <v>77720.161037013095</v>
      </c>
      <c r="V115" s="6">
        <f>+T115/payroll!F115</f>
        <v>2.9408076388568117E-4</v>
      </c>
      <c r="X115" s="5">
        <f>IF(V115&lt;$X$2,T115, +payroll!F115 * $X$2)</f>
        <v>77720.161037013095</v>
      </c>
      <c r="Z115" s="5">
        <f t="shared" si="30"/>
        <v>0</v>
      </c>
      <c r="AB115">
        <f t="shared" si="31"/>
        <v>1</v>
      </c>
    </row>
    <row r="116" spans="1:28">
      <c r="A116" t="s">
        <v>179</v>
      </c>
      <c r="B116" t="s">
        <v>180</v>
      </c>
      <c r="D116" s="42">
        <v>17</v>
      </c>
      <c r="E116" s="42">
        <v>18</v>
      </c>
      <c r="F116" s="42">
        <v>22</v>
      </c>
      <c r="G116">
        <f t="shared" si="26"/>
        <v>57</v>
      </c>
      <c r="I116" s="22">
        <f t="shared" si="27"/>
        <v>19</v>
      </c>
      <c r="J116" s="6">
        <f>+IFR!AD116</f>
        <v>8.1404797881760044E-3</v>
      </c>
      <c r="K116" s="14">
        <f t="shared" si="25"/>
        <v>0.95</v>
      </c>
      <c r="L116" s="22">
        <f t="shared" si="28"/>
        <v>18.05</v>
      </c>
      <c r="M116" s="14">
        <v>1</v>
      </c>
      <c r="N116" s="14">
        <v>1</v>
      </c>
      <c r="P116" s="22">
        <f t="shared" si="29"/>
        <v>18.05</v>
      </c>
      <c r="R116" s="3">
        <f t="shared" si="24"/>
        <v>2.8206136592709135E-3</v>
      </c>
      <c r="T116" s="5">
        <f>+R116*(assessment!$J$272*assessment!$E$3)</f>
        <v>21822.902360146538</v>
      </c>
      <c r="V116" s="6">
        <f>+T116/payroll!F116</f>
        <v>1.6065102621909649E-4</v>
      </c>
      <c r="X116" s="5">
        <f>IF(V116&lt;$X$2,T116, +payroll!F116 * $X$2)</f>
        <v>21822.902360146538</v>
      </c>
      <c r="Z116" s="5">
        <f t="shared" si="30"/>
        <v>0</v>
      </c>
      <c r="AB116">
        <f t="shared" si="31"/>
        <v>1</v>
      </c>
    </row>
    <row r="117" spans="1:28">
      <c r="A117" t="s">
        <v>181</v>
      </c>
      <c r="B117" s="36" t="s">
        <v>558</v>
      </c>
      <c r="D117" s="42">
        <v>64</v>
      </c>
      <c r="E117" s="42">
        <v>62</v>
      </c>
      <c r="F117" s="42">
        <v>64</v>
      </c>
      <c r="G117">
        <f t="shared" si="26"/>
        <v>190</v>
      </c>
      <c r="I117" s="22">
        <f t="shared" si="27"/>
        <v>63.333333333333336</v>
      </c>
      <c r="J117" s="6">
        <f>+IFR!AD117</f>
        <v>1.432393321531677E-2</v>
      </c>
      <c r="K117" s="14">
        <f t="shared" si="25"/>
        <v>0.95</v>
      </c>
      <c r="L117" s="22">
        <f t="shared" si="28"/>
        <v>60.166666666666664</v>
      </c>
      <c r="M117" s="14">
        <v>1</v>
      </c>
      <c r="N117" s="14">
        <v>1</v>
      </c>
      <c r="P117" s="22">
        <f t="shared" si="29"/>
        <v>60.166666666666664</v>
      </c>
      <c r="R117" s="3">
        <f t="shared" si="24"/>
        <v>9.402045530903045E-3</v>
      </c>
      <c r="T117" s="5">
        <f>+R117*(assessment!$J$272*assessment!$E$3)</f>
        <v>72743.007867155116</v>
      </c>
      <c r="V117" s="6">
        <f>+T117/payroll!F117</f>
        <v>2.985417165100654E-4</v>
      </c>
      <c r="X117" s="5">
        <f>IF(V117&lt;$X$2,T117, +payroll!F117 * $X$2)</f>
        <v>72743.007867155116</v>
      </c>
      <c r="Z117" s="5">
        <f t="shared" si="30"/>
        <v>0</v>
      </c>
      <c r="AB117">
        <f t="shared" si="31"/>
        <v>1</v>
      </c>
    </row>
    <row r="118" spans="1:28">
      <c r="A118" t="s">
        <v>182</v>
      </c>
      <c r="B118" t="s">
        <v>183</v>
      </c>
      <c r="D118" s="42">
        <v>26</v>
      </c>
      <c r="E118" s="42">
        <v>22</v>
      </c>
      <c r="F118" s="42">
        <v>31</v>
      </c>
      <c r="G118">
        <f t="shared" si="26"/>
        <v>79</v>
      </c>
      <c r="I118" s="22">
        <f t="shared" si="27"/>
        <v>26.333333333333332</v>
      </c>
      <c r="J118" s="6">
        <f>+IFR!AD118</f>
        <v>1.5621265998968967E-2</v>
      </c>
      <c r="K118" s="14">
        <f t="shared" si="25"/>
        <v>0.95</v>
      </c>
      <c r="L118" s="22">
        <f t="shared" si="28"/>
        <v>25.016666666666666</v>
      </c>
      <c r="M118" s="14">
        <v>1</v>
      </c>
      <c r="N118" s="14">
        <v>1</v>
      </c>
      <c r="P118" s="22">
        <f t="shared" si="29"/>
        <v>25.016666666666666</v>
      </c>
      <c r="R118" s="3">
        <f t="shared" si="24"/>
        <v>3.9092715628491603E-3</v>
      </c>
      <c r="T118" s="5">
        <f>+R118*(assessment!$J$272*assessment!$E$3)</f>
        <v>30245.77695529081</v>
      </c>
      <c r="V118" s="6">
        <f>+T118/payroll!F118</f>
        <v>3.239721920992045E-4</v>
      </c>
      <c r="X118" s="5">
        <f>IF(V118&lt;$X$2,T118, +payroll!F118 * $X$2)</f>
        <v>30245.77695529081</v>
      </c>
      <c r="Z118" s="5">
        <f t="shared" si="30"/>
        <v>0</v>
      </c>
      <c r="AB118">
        <f t="shared" si="31"/>
        <v>1</v>
      </c>
    </row>
    <row r="119" spans="1:28">
      <c r="A119" t="s">
        <v>184</v>
      </c>
      <c r="B119" t="s">
        <v>185</v>
      </c>
      <c r="D119" s="42">
        <v>3</v>
      </c>
      <c r="E119" s="42">
        <v>9</v>
      </c>
      <c r="F119" s="42">
        <v>10</v>
      </c>
      <c r="G119">
        <f t="shared" si="26"/>
        <v>22</v>
      </c>
      <c r="I119" s="22">
        <f t="shared" si="27"/>
        <v>7.333333333333333</v>
      </c>
      <c r="J119" s="6">
        <f>+IFR!AD119</f>
        <v>1.6428161133990645E-2</v>
      </c>
      <c r="K119" s="14">
        <f t="shared" si="25"/>
        <v>0.95</v>
      </c>
      <c r="L119" s="22">
        <f t="shared" si="28"/>
        <v>6.9666666666666659</v>
      </c>
      <c r="M119" s="14">
        <v>1</v>
      </c>
      <c r="N119" s="14">
        <v>1</v>
      </c>
      <c r="P119" s="22">
        <f t="shared" si="29"/>
        <v>6.9666666666666659</v>
      </c>
      <c r="R119" s="3">
        <f t="shared" si="24"/>
        <v>1.0886579035782472E-3</v>
      </c>
      <c r="T119" s="5">
        <f>+R119*(assessment!$J$272*assessment!$E$3)</f>
        <v>8422.8745951442761</v>
      </c>
      <c r="V119" s="6">
        <f>+T119/payroll!F119</f>
        <v>3.7412864749855211E-4</v>
      </c>
      <c r="X119" s="5">
        <f>IF(V119&lt;$X$2,T119, +payroll!F119 * $X$2)</f>
        <v>8422.8745951442761</v>
      </c>
      <c r="Z119" s="5">
        <f t="shared" si="30"/>
        <v>0</v>
      </c>
      <c r="AB119">
        <f t="shared" si="31"/>
        <v>1</v>
      </c>
    </row>
    <row r="120" spans="1:28">
      <c r="A120" t="s">
        <v>186</v>
      </c>
      <c r="B120" t="s">
        <v>539</v>
      </c>
      <c r="D120" s="42">
        <v>0</v>
      </c>
      <c r="E120" s="42">
        <v>0</v>
      </c>
      <c r="F120" s="42">
        <v>0</v>
      </c>
      <c r="G120">
        <f t="shared" si="26"/>
        <v>0</v>
      </c>
      <c r="I120" s="22">
        <f t="shared" si="27"/>
        <v>0</v>
      </c>
      <c r="J120" s="6">
        <f>+IFR!AD120</f>
        <v>0</v>
      </c>
      <c r="K120" s="14">
        <f t="shared" si="25"/>
        <v>0.95</v>
      </c>
      <c r="L120" s="22">
        <f t="shared" si="28"/>
        <v>0</v>
      </c>
      <c r="M120" s="14">
        <v>1</v>
      </c>
      <c r="N120" s="14">
        <v>1</v>
      </c>
      <c r="P120" s="22">
        <f t="shared" si="29"/>
        <v>0</v>
      </c>
      <c r="R120" s="3">
        <f t="shared" si="24"/>
        <v>0</v>
      </c>
      <c r="T120" s="5">
        <f>+R120*(assessment!$J$272*assessment!$E$3)</f>
        <v>0</v>
      </c>
      <c r="V120" s="6">
        <f>+T120/payroll!F120</f>
        <v>0</v>
      </c>
      <c r="X120" s="5">
        <f>IF(V120&lt;$X$2,T120, +payroll!F120 * $X$2)</f>
        <v>0</v>
      </c>
      <c r="Z120" s="5">
        <f t="shared" si="30"/>
        <v>0</v>
      </c>
      <c r="AB120" t="e">
        <f t="shared" si="31"/>
        <v>#DIV/0!</v>
      </c>
    </row>
    <row r="121" spans="1:28">
      <c r="A121" t="s">
        <v>187</v>
      </c>
      <c r="B121" t="s">
        <v>188</v>
      </c>
      <c r="D121" s="42">
        <v>18</v>
      </c>
      <c r="E121" s="42">
        <v>16</v>
      </c>
      <c r="F121" s="42">
        <v>17</v>
      </c>
      <c r="G121">
        <f t="shared" si="26"/>
        <v>51</v>
      </c>
      <c r="I121" s="22">
        <f t="shared" si="27"/>
        <v>17</v>
      </c>
      <c r="J121" s="6">
        <f>+IFR!AD121</f>
        <v>1.6111424768315667E-2</v>
      </c>
      <c r="K121" s="14">
        <f t="shared" si="25"/>
        <v>0.95</v>
      </c>
      <c r="L121" s="22">
        <f t="shared" si="28"/>
        <v>16.149999999999999</v>
      </c>
      <c r="M121" s="14">
        <v>1</v>
      </c>
      <c r="N121" s="14">
        <v>1</v>
      </c>
      <c r="P121" s="22">
        <f t="shared" si="29"/>
        <v>16.149999999999999</v>
      </c>
      <c r="R121" s="3">
        <f t="shared" si="24"/>
        <v>2.5237069582950277E-3</v>
      </c>
      <c r="T121" s="5">
        <f>+R121*(assessment!$J$272*assessment!$E$3)</f>
        <v>19525.754743289006</v>
      </c>
      <c r="V121" s="6">
        <f>+T121/payroll!F121</f>
        <v>3.2361844594367361E-4</v>
      </c>
      <c r="X121" s="5">
        <f>IF(V121&lt;$X$2,T121, +payroll!F121 * $X$2)</f>
        <v>19525.754743289006</v>
      </c>
      <c r="Z121" s="5">
        <f t="shared" si="30"/>
        <v>0</v>
      </c>
      <c r="AB121">
        <f t="shared" si="31"/>
        <v>1</v>
      </c>
    </row>
    <row r="122" spans="1:28">
      <c r="A122" t="s">
        <v>189</v>
      </c>
      <c r="B122" t="s">
        <v>190</v>
      </c>
      <c r="D122" s="42">
        <v>10</v>
      </c>
      <c r="E122" s="42">
        <v>9</v>
      </c>
      <c r="F122" s="42">
        <v>15</v>
      </c>
      <c r="G122">
        <f t="shared" si="26"/>
        <v>34</v>
      </c>
      <c r="I122" s="22">
        <f t="shared" si="27"/>
        <v>11.333333333333334</v>
      </c>
      <c r="J122" s="6">
        <f>+IFR!AD122</f>
        <v>7.6049590578853273E-3</v>
      </c>
      <c r="K122" s="14">
        <f t="shared" si="25"/>
        <v>0.95</v>
      </c>
      <c r="L122" s="22">
        <f t="shared" si="28"/>
        <v>10.766666666666667</v>
      </c>
      <c r="M122" s="14">
        <v>1</v>
      </c>
      <c r="N122" s="14">
        <v>1</v>
      </c>
      <c r="P122" s="22">
        <f t="shared" si="29"/>
        <v>10.766666666666667</v>
      </c>
      <c r="R122" s="3">
        <f t="shared" si="24"/>
        <v>1.6824713055300187E-3</v>
      </c>
      <c r="T122" s="5">
        <f>+R122*(assessment!$J$272*assessment!$E$3)</f>
        <v>13017.169828859338</v>
      </c>
      <c r="V122" s="6">
        <f>+T122/payroll!F122</f>
        <v>9.6195051363048265E-5</v>
      </c>
      <c r="X122" s="5">
        <f>IF(V122&lt;$X$2,T122, +payroll!F122 * $X$2)</f>
        <v>13017.169828859338</v>
      </c>
      <c r="Z122" s="5">
        <f t="shared" si="30"/>
        <v>0</v>
      </c>
      <c r="AB122">
        <f t="shared" si="31"/>
        <v>1</v>
      </c>
    </row>
    <row r="123" spans="1:28">
      <c r="A123" t="s">
        <v>191</v>
      </c>
      <c r="B123" t="s">
        <v>540</v>
      </c>
      <c r="D123" s="42">
        <v>4</v>
      </c>
      <c r="E123" s="42">
        <v>7</v>
      </c>
      <c r="F123" s="42">
        <v>5</v>
      </c>
      <c r="G123">
        <f t="shared" si="26"/>
        <v>16</v>
      </c>
      <c r="I123" s="22">
        <f t="shared" si="27"/>
        <v>5.333333333333333</v>
      </c>
      <c r="J123" s="6">
        <f>+IFR!AD123</f>
        <v>1.1863283148180125E-2</v>
      </c>
      <c r="K123" s="14">
        <f t="shared" si="25"/>
        <v>0.95</v>
      </c>
      <c r="L123" s="22">
        <f t="shared" si="28"/>
        <v>5.0666666666666664</v>
      </c>
      <c r="M123" s="14">
        <v>1</v>
      </c>
      <c r="N123" s="14">
        <v>1</v>
      </c>
      <c r="P123" s="22">
        <f t="shared" si="29"/>
        <v>5.0666666666666664</v>
      </c>
      <c r="R123" s="3">
        <f t="shared" si="24"/>
        <v>7.9175120260236158E-4</v>
      </c>
      <c r="T123" s="5">
        <f>+R123*(assessment!$J$272*assessment!$E$3)</f>
        <v>6125.7269782867461</v>
      </c>
      <c r="V123" s="6">
        <f>+T123/payroll!F123</f>
        <v>2.366274191161698E-4</v>
      </c>
      <c r="X123" s="5">
        <f>IF(V123&lt;$X$2,T123, +payroll!F123 * $X$2)</f>
        <v>6125.7269782867461</v>
      </c>
      <c r="Z123" s="5">
        <f t="shared" si="30"/>
        <v>0</v>
      </c>
      <c r="AB123">
        <f t="shared" si="31"/>
        <v>1</v>
      </c>
    </row>
    <row r="124" spans="1:28">
      <c r="A124" t="s">
        <v>480</v>
      </c>
      <c r="B124" t="s">
        <v>481</v>
      </c>
      <c r="D124" s="42">
        <v>4</v>
      </c>
      <c r="E124" s="42">
        <v>4</v>
      </c>
      <c r="F124" s="42">
        <v>1</v>
      </c>
      <c r="G124">
        <f t="shared" si="26"/>
        <v>9</v>
      </c>
      <c r="I124" s="22">
        <f>AVERAGE(D124:F124)</f>
        <v>3</v>
      </c>
      <c r="J124" s="6">
        <f>+IFR!AD124</f>
        <v>5.3321900208342238E-3</v>
      </c>
      <c r="K124" s="14">
        <f t="shared" si="25"/>
        <v>0.95</v>
      </c>
      <c r="L124" s="22">
        <f>+I124*K124</f>
        <v>2.8499999999999996</v>
      </c>
      <c r="M124" s="14">
        <v>1</v>
      </c>
      <c r="N124" s="14">
        <v>1</v>
      </c>
      <c r="P124" s="22">
        <f>+L124*M124*N124</f>
        <v>2.8499999999999996</v>
      </c>
      <c r="R124" s="3">
        <f t="shared" si="24"/>
        <v>4.4536005146382838E-4</v>
      </c>
      <c r="T124" s="5">
        <f>+R124*(assessment!$J$272*assessment!$E$3)</f>
        <v>3445.7214252862946</v>
      </c>
      <c r="V124" s="6">
        <f>+T124/payroll!F124</f>
        <v>1.0046641495441025E-4</v>
      </c>
      <c r="X124" s="5">
        <f>IF(V124&lt;$X$2,T124, +payroll!F124 * $X$2)</f>
        <v>3445.7214252862946</v>
      </c>
      <c r="Z124" s="5">
        <f>+T124-X124</f>
        <v>0</v>
      </c>
      <c r="AB124">
        <f>+X124/T124</f>
        <v>1</v>
      </c>
    </row>
    <row r="125" spans="1:28">
      <c r="A125" t="s">
        <v>192</v>
      </c>
      <c r="B125" t="s">
        <v>500</v>
      </c>
      <c r="D125" s="42">
        <v>12</v>
      </c>
      <c r="E125" s="42">
        <v>10</v>
      </c>
      <c r="F125" s="42">
        <v>13</v>
      </c>
      <c r="G125">
        <f t="shared" si="26"/>
        <v>35</v>
      </c>
      <c r="I125" s="22">
        <f t="shared" si="27"/>
        <v>11.666666666666666</v>
      </c>
      <c r="J125" s="6">
        <f>+IFR!AD125</f>
        <v>3.1807620319380399E-2</v>
      </c>
      <c r="K125" s="14">
        <f t="shared" si="25"/>
        <v>0.95</v>
      </c>
      <c r="L125" s="22">
        <f t="shared" si="28"/>
        <v>11.083333333333332</v>
      </c>
      <c r="M125" s="14">
        <v>1</v>
      </c>
      <c r="N125" s="14">
        <v>1</v>
      </c>
      <c r="P125" s="22">
        <f t="shared" si="29"/>
        <v>11.083333333333332</v>
      </c>
      <c r="R125" s="3">
        <f t="shared" si="24"/>
        <v>1.7319557556926659E-3</v>
      </c>
      <c r="T125" s="5">
        <f>+R125*(assessment!$J$272*assessment!$E$3)</f>
        <v>13400.027765002256</v>
      </c>
      <c r="V125" s="6">
        <f>+T125/payroll!F125</f>
        <v>7.2078972167115372E-4</v>
      </c>
      <c r="X125" s="5">
        <f>IF(V125&lt;$X$2,T125, +payroll!F125 * $X$2)</f>
        <v>13400.027765002256</v>
      </c>
      <c r="Z125" s="5">
        <f t="shared" si="30"/>
        <v>0</v>
      </c>
      <c r="AB125">
        <f t="shared" si="31"/>
        <v>1</v>
      </c>
    </row>
    <row r="126" spans="1:28">
      <c r="A126" t="s">
        <v>193</v>
      </c>
      <c r="B126" t="s">
        <v>194</v>
      </c>
      <c r="D126" s="42">
        <v>19</v>
      </c>
      <c r="E126" s="42">
        <v>21</v>
      </c>
      <c r="F126" s="42">
        <v>22</v>
      </c>
      <c r="G126">
        <f t="shared" si="26"/>
        <v>62</v>
      </c>
      <c r="I126" s="22">
        <f t="shared" si="27"/>
        <v>20.666666666666668</v>
      </c>
      <c r="J126" s="6">
        <f>+IFR!AD126</f>
        <v>4.8550835826465348E-2</v>
      </c>
      <c r="K126" s="14">
        <f t="shared" si="25"/>
        <v>1</v>
      </c>
      <c r="L126" s="22">
        <f t="shared" si="28"/>
        <v>20.666666666666668</v>
      </c>
      <c r="M126" s="14">
        <v>1</v>
      </c>
      <c r="N126" s="14">
        <v>1</v>
      </c>
      <c r="P126" s="22">
        <f t="shared" si="29"/>
        <v>20.666666666666668</v>
      </c>
      <c r="R126" s="3">
        <f t="shared" si="24"/>
        <v>3.2295114842991069E-3</v>
      </c>
      <c r="T126" s="5">
        <f>+R126*(assessment!$J$272*assessment!$E$3)</f>
        <v>24986.517937748573</v>
      </c>
      <c r="V126" s="6">
        <f>+T126/payroll!F126</f>
        <v>1.1682919976808016E-3</v>
      </c>
      <c r="X126" s="5">
        <f>IF(V126&lt;$X$2,T126, +payroll!F126 * $X$2)</f>
        <v>24986.517937748573</v>
      </c>
      <c r="Z126" s="5">
        <f t="shared" si="30"/>
        <v>0</v>
      </c>
      <c r="AB126">
        <f t="shared" si="31"/>
        <v>1</v>
      </c>
    </row>
    <row r="127" spans="1:28">
      <c r="A127" t="s">
        <v>551</v>
      </c>
      <c r="B127" t="s">
        <v>552</v>
      </c>
      <c r="D127" s="42">
        <v>3</v>
      </c>
      <c r="E127" s="42">
        <v>1</v>
      </c>
      <c r="F127" s="42">
        <v>1</v>
      </c>
      <c r="G127">
        <f>SUM(D127:F127)</f>
        <v>5</v>
      </c>
      <c r="I127" s="22">
        <f>AVERAGE(D127:F127)</f>
        <v>1.6666666666666667</v>
      </c>
      <c r="J127" s="6">
        <f>+IFR!AD127</f>
        <v>6.3036990704314726E-3</v>
      </c>
      <c r="K127" s="14">
        <f t="shared" si="25"/>
        <v>0.95</v>
      </c>
      <c r="L127" s="22">
        <f>+I127*K127</f>
        <v>1.5833333333333333</v>
      </c>
      <c r="M127" s="14">
        <v>1</v>
      </c>
      <c r="N127" s="14">
        <v>1</v>
      </c>
      <c r="P127" s="22">
        <f>+L127*M127*N127</f>
        <v>1.5833333333333333</v>
      </c>
      <c r="R127" s="3">
        <f t="shared" si="24"/>
        <v>2.4742225081323798E-4</v>
      </c>
      <c r="T127" s="5">
        <f>+R127*(assessment!$J$272*assessment!$E$3)</f>
        <v>1914.289680714608</v>
      </c>
      <c r="V127" s="6">
        <f>+T127/payroll!F127</f>
        <v>1.5792545627882191E-4</v>
      </c>
      <c r="X127" s="5">
        <f>IF(V127&lt;$X$2,T127, +payroll!F127 * $X$2)</f>
        <v>1914.289680714608</v>
      </c>
      <c r="Z127" s="5">
        <f>+T127-X127</f>
        <v>0</v>
      </c>
      <c r="AB127">
        <f>+X127/T127</f>
        <v>1</v>
      </c>
    </row>
    <row r="128" spans="1:28" s="50" customFormat="1">
      <c r="A128" s="52" t="s">
        <v>571</v>
      </c>
      <c r="B128" s="52" t="s">
        <v>563</v>
      </c>
      <c r="D128" s="42">
        <v>42</v>
      </c>
      <c r="E128" s="42">
        <v>49</v>
      </c>
      <c r="F128" s="42">
        <v>34</v>
      </c>
      <c r="G128" s="50">
        <f>SUM(D128:F128)</f>
        <v>125</v>
      </c>
      <c r="I128" s="22">
        <f>AVERAGE(D128:F128)</f>
        <v>41.666666666666664</v>
      </c>
      <c r="J128" s="54">
        <f>+IFR!AD128</f>
        <v>2.5378755762807903E-2</v>
      </c>
      <c r="K128" s="14">
        <f t="shared" si="25"/>
        <v>0.95</v>
      </c>
      <c r="L128" s="22">
        <f>+I128*K128</f>
        <v>39.583333333333329</v>
      </c>
      <c r="M128" s="14">
        <v>1</v>
      </c>
      <c r="N128" s="14">
        <v>1</v>
      </c>
      <c r="P128" s="22">
        <f>+L128*M128*N128</f>
        <v>39.583333333333329</v>
      </c>
      <c r="R128" s="53">
        <f t="shared" si="24"/>
        <v>6.1855562703309495E-3</v>
      </c>
      <c r="T128" s="5">
        <f>+R128*(assessment!$J$272*assessment!$E$3)</f>
        <v>47857.242017865203</v>
      </c>
      <c r="V128" s="54">
        <f>+T128/payroll!F128</f>
        <v>4.23395582466821E-4</v>
      </c>
      <c r="X128" s="5">
        <f>IF(V128&lt;$X$2,T128, +payroll!F128 * $X$2)</f>
        <v>47857.242017865203</v>
      </c>
      <c r="Z128" s="5">
        <f>+T128-X128</f>
        <v>0</v>
      </c>
      <c r="AB128" s="50">
        <f>+X128/T128</f>
        <v>1</v>
      </c>
    </row>
    <row r="129" spans="1:28">
      <c r="A129" t="s">
        <v>195</v>
      </c>
      <c r="B129" t="s">
        <v>196</v>
      </c>
      <c r="D129" s="42">
        <v>1</v>
      </c>
      <c r="E129" s="42">
        <v>2</v>
      </c>
      <c r="F129" s="42">
        <v>0</v>
      </c>
      <c r="G129">
        <f t="shared" si="26"/>
        <v>3</v>
      </c>
      <c r="I129" s="22">
        <f t="shared" si="27"/>
        <v>1</v>
      </c>
      <c r="J129" s="6">
        <f>+IFR!AD129</f>
        <v>3.6407164097189862E-3</v>
      </c>
      <c r="K129" s="14">
        <f t="shared" si="25"/>
        <v>0.95</v>
      </c>
      <c r="L129" s="22">
        <f t="shared" si="28"/>
        <v>0.95</v>
      </c>
      <c r="M129" s="14">
        <v>1</v>
      </c>
      <c r="N129" s="14">
        <v>1</v>
      </c>
      <c r="P129" s="22">
        <f t="shared" si="29"/>
        <v>0.95</v>
      </c>
      <c r="R129" s="3">
        <f t="shared" si="24"/>
        <v>1.4845335048794281E-4</v>
      </c>
      <c r="T129" s="5">
        <f>+R129*(assessment!$J$272*assessment!$E$3)</f>
        <v>1148.573808428765</v>
      </c>
      <c r="V129" s="6">
        <f>+T129/payroll!F129</f>
        <v>7.4542109551650716E-5</v>
      </c>
      <c r="X129" s="5">
        <f>IF(V129&lt;$X$2,T129, +payroll!F129 * $X$2)</f>
        <v>1148.573808428765</v>
      </c>
      <c r="Z129" s="5">
        <f t="shared" si="30"/>
        <v>0</v>
      </c>
      <c r="AB129">
        <f t="shared" si="31"/>
        <v>1</v>
      </c>
    </row>
    <row r="130" spans="1:28">
      <c r="A130" t="s">
        <v>197</v>
      </c>
      <c r="B130" t="s">
        <v>541</v>
      </c>
      <c r="D130" s="42">
        <v>0</v>
      </c>
      <c r="E130" s="42">
        <v>0</v>
      </c>
      <c r="F130" s="42">
        <v>1</v>
      </c>
      <c r="G130">
        <f t="shared" si="26"/>
        <v>1</v>
      </c>
      <c r="I130" s="22">
        <f t="shared" si="27"/>
        <v>0.33333333333333331</v>
      </c>
      <c r="J130" s="6">
        <f>+IFR!AD130</f>
        <v>5.0000000000000001E-3</v>
      </c>
      <c r="K130" s="14">
        <f t="shared" ref="K130:K193" si="32">IF(+J130&lt;$E$267,$I$267,IF(J130&gt;$E$269,$I$269,$I$268))</f>
        <v>0.95</v>
      </c>
      <c r="L130" s="22">
        <f t="shared" si="28"/>
        <v>0.31666666666666665</v>
      </c>
      <c r="M130" s="14">
        <v>1</v>
      </c>
      <c r="N130" s="14">
        <v>1</v>
      </c>
      <c r="P130" s="22">
        <f t="shared" si="29"/>
        <v>0.31666666666666665</v>
      </c>
      <c r="R130" s="3">
        <f t="shared" ref="R130:R161" si="33">+P130/$P$264</f>
        <v>4.9484450162647599E-5</v>
      </c>
      <c r="T130" s="5">
        <f>+R130*(assessment!$J$272*assessment!$E$3)</f>
        <v>382.85793614292163</v>
      </c>
      <c r="V130" s="6">
        <f>+T130/payroll!F130</f>
        <v>5.269976767612079E-5</v>
      </c>
      <c r="X130" s="5">
        <f>IF(V130&lt;$X$2,T130, +payroll!F130 * $X$2)</f>
        <v>382.85793614292163</v>
      </c>
      <c r="Z130" s="5">
        <f t="shared" si="30"/>
        <v>0</v>
      </c>
      <c r="AB130">
        <f t="shared" si="31"/>
        <v>1</v>
      </c>
    </row>
    <row r="131" spans="1:28">
      <c r="A131" t="s">
        <v>198</v>
      </c>
      <c r="B131" t="s">
        <v>199</v>
      </c>
      <c r="D131" s="42">
        <v>12</v>
      </c>
      <c r="E131" s="42">
        <v>8</v>
      </c>
      <c r="F131" s="42">
        <v>5</v>
      </c>
      <c r="G131">
        <f t="shared" si="26"/>
        <v>25</v>
      </c>
      <c r="I131" s="22">
        <f t="shared" si="27"/>
        <v>8.3333333333333339</v>
      </c>
      <c r="J131" s="6">
        <f>+IFR!AD131</f>
        <v>6.7279493971481689E-3</v>
      </c>
      <c r="K131" s="14">
        <f t="shared" si="32"/>
        <v>0.95</v>
      </c>
      <c r="L131" s="22">
        <f t="shared" si="28"/>
        <v>7.916666666666667</v>
      </c>
      <c r="M131" s="14">
        <v>1</v>
      </c>
      <c r="N131" s="14">
        <v>1</v>
      </c>
      <c r="P131" s="22">
        <f t="shared" si="29"/>
        <v>7.916666666666667</v>
      </c>
      <c r="R131" s="3">
        <f t="shared" si="33"/>
        <v>1.2371112540661901E-3</v>
      </c>
      <c r="T131" s="5">
        <f>+R131*(assessment!$J$272*assessment!$E$3)</f>
        <v>9571.448403573042</v>
      </c>
      <c r="V131" s="6">
        <f>+T131/payroll!F131</f>
        <v>1.3926769586338487E-4</v>
      </c>
      <c r="X131" s="5">
        <f>IF(V131&lt;$X$2,T131, +payroll!F131 * $X$2)</f>
        <v>9571.448403573042</v>
      </c>
      <c r="Z131" s="5">
        <f t="shared" si="30"/>
        <v>0</v>
      </c>
      <c r="AB131">
        <f t="shared" si="31"/>
        <v>1</v>
      </c>
    </row>
    <row r="132" spans="1:28">
      <c r="A132" t="s">
        <v>200</v>
      </c>
      <c r="B132" t="s">
        <v>542</v>
      </c>
      <c r="D132" s="42">
        <v>2</v>
      </c>
      <c r="E132" s="42">
        <v>2</v>
      </c>
      <c r="F132" s="42">
        <v>3</v>
      </c>
      <c r="G132">
        <f t="shared" si="26"/>
        <v>7</v>
      </c>
      <c r="I132" s="22">
        <f t="shared" si="27"/>
        <v>2.3333333333333335</v>
      </c>
      <c r="J132" s="6">
        <f>+IFR!AD132</f>
        <v>1.5550742247505933E-2</v>
      </c>
      <c r="K132" s="14">
        <f t="shared" si="32"/>
        <v>0.95</v>
      </c>
      <c r="L132" s="22">
        <f t="shared" si="28"/>
        <v>2.2166666666666668</v>
      </c>
      <c r="M132" s="14">
        <v>1</v>
      </c>
      <c r="N132" s="14">
        <v>1</v>
      </c>
      <c r="P132" s="22">
        <f t="shared" si="29"/>
        <v>2.2166666666666668</v>
      </c>
      <c r="R132" s="3">
        <f t="shared" si="33"/>
        <v>3.4639115113853326E-4</v>
      </c>
      <c r="T132" s="5">
        <f>+R132*(assessment!$J$272*assessment!$E$3)</f>
        <v>2680.005553000452</v>
      </c>
      <c r="V132" s="6">
        <f>+T132/payroll!F132</f>
        <v>3.3667450460114794E-4</v>
      </c>
      <c r="X132" s="5">
        <f>IF(V132&lt;$X$2,T132, +payroll!F132 * $X$2)</f>
        <v>2680.005553000452</v>
      </c>
      <c r="Z132" s="5">
        <f t="shared" si="30"/>
        <v>0</v>
      </c>
      <c r="AB132">
        <f t="shared" si="31"/>
        <v>1</v>
      </c>
    </row>
    <row r="133" spans="1:28">
      <c r="A133" t="s">
        <v>201</v>
      </c>
      <c r="B133" t="s">
        <v>543</v>
      </c>
      <c r="D133" s="42">
        <v>2</v>
      </c>
      <c r="E133" s="42">
        <v>5</v>
      </c>
      <c r="F133" s="42">
        <v>1</v>
      </c>
      <c r="G133">
        <f t="shared" si="26"/>
        <v>8</v>
      </c>
      <c r="I133" s="22">
        <f t="shared" si="27"/>
        <v>2.6666666666666665</v>
      </c>
      <c r="J133" s="6">
        <f>+IFR!AD133</f>
        <v>1.2090596482869476E-2</v>
      </c>
      <c r="K133" s="14">
        <f t="shared" si="32"/>
        <v>0.95</v>
      </c>
      <c r="L133" s="22">
        <f t="shared" si="28"/>
        <v>2.5333333333333332</v>
      </c>
      <c r="M133" s="14">
        <v>1</v>
      </c>
      <c r="N133" s="14">
        <v>1</v>
      </c>
      <c r="P133" s="22">
        <f t="shared" si="29"/>
        <v>2.5333333333333332</v>
      </c>
      <c r="R133" s="3">
        <f t="shared" si="33"/>
        <v>3.9587560130118079E-4</v>
      </c>
      <c r="T133" s="5">
        <f>+R133*(assessment!$J$272*assessment!$E$3)</f>
        <v>3062.863489143373</v>
      </c>
      <c r="V133" s="6">
        <f>+T133/payroll!F133</f>
        <v>3.0754989386944142E-4</v>
      </c>
      <c r="X133" s="5">
        <f>IF(V133&lt;$X$2,T133, +payroll!F133 * $X$2)</f>
        <v>3062.863489143373</v>
      </c>
      <c r="Z133" s="5">
        <f t="shared" si="30"/>
        <v>0</v>
      </c>
      <c r="AB133">
        <f t="shared" si="31"/>
        <v>1</v>
      </c>
    </row>
    <row r="134" spans="1:28">
      <c r="A134" t="s">
        <v>202</v>
      </c>
      <c r="B134" t="s">
        <v>501</v>
      </c>
      <c r="D134" s="42">
        <v>2</v>
      </c>
      <c r="E134" s="42">
        <v>1</v>
      </c>
      <c r="F134" s="42">
        <v>6</v>
      </c>
      <c r="G134">
        <f t="shared" si="26"/>
        <v>9</v>
      </c>
      <c r="I134" s="22">
        <f t="shared" si="27"/>
        <v>3</v>
      </c>
      <c r="J134" s="6">
        <f>+IFR!AD134</f>
        <v>1.703592186779709E-2</v>
      </c>
      <c r="K134" s="14">
        <f t="shared" si="32"/>
        <v>0.95</v>
      </c>
      <c r="L134" s="22">
        <f t="shared" si="28"/>
        <v>2.8499999999999996</v>
      </c>
      <c r="M134" s="14">
        <v>1</v>
      </c>
      <c r="N134" s="14">
        <v>1</v>
      </c>
      <c r="P134" s="22">
        <f t="shared" si="29"/>
        <v>2.8499999999999996</v>
      </c>
      <c r="R134" s="3">
        <f t="shared" si="33"/>
        <v>4.4536005146382838E-4</v>
      </c>
      <c r="T134" s="5">
        <f>+R134*(assessment!$J$272*assessment!$E$3)</f>
        <v>3445.7214252862946</v>
      </c>
      <c r="V134" s="6">
        <f>+T134/payroll!F134</f>
        <v>3.0563385301270407E-4</v>
      </c>
      <c r="X134" s="5">
        <f>IF(V134&lt;$X$2,T134, +payroll!F134 * $X$2)</f>
        <v>3445.7214252862946</v>
      </c>
      <c r="Z134" s="5">
        <f t="shared" si="30"/>
        <v>0</v>
      </c>
      <c r="AB134">
        <f t="shared" si="31"/>
        <v>1</v>
      </c>
    </row>
    <row r="135" spans="1:28">
      <c r="A135" t="s">
        <v>203</v>
      </c>
      <c r="B135" t="s">
        <v>544</v>
      </c>
      <c r="D135" s="42">
        <v>115</v>
      </c>
      <c r="E135" s="42">
        <v>167</v>
      </c>
      <c r="F135" s="42">
        <v>136</v>
      </c>
      <c r="G135">
        <f t="shared" si="26"/>
        <v>418</v>
      </c>
      <c r="I135" s="22">
        <f t="shared" si="27"/>
        <v>139.33333333333334</v>
      </c>
      <c r="J135" s="6">
        <f>+IFR!AD135</f>
        <v>4.7611510173585149E-2</v>
      </c>
      <c r="K135" s="14">
        <f t="shared" si="32"/>
        <v>1</v>
      </c>
      <c r="L135" s="22">
        <f t="shared" si="28"/>
        <v>139.33333333333334</v>
      </c>
      <c r="M135" s="14">
        <v>1</v>
      </c>
      <c r="N135" s="14">
        <v>1</v>
      </c>
      <c r="P135" s="22">
        <f t="shared" si="29"/>
        <v>139.33333333333334</v>
      </c>
      <c r="R135" s="3">
        <f t="shared" si="33"/>
        <v>2.1773158071564946E-2</v>
      </c>
      <c r="T135" s="5">
        <f>+R135*(assessment!$J$272*assessment!$E$3)</f>
        <v>168457.49190288555</v>
      </c>
      <c r="V135" s="6">
        <f>+T135/payroll!F135</f>
        <v>1.097588078266924E-3</v>
      </c>
      <c r="X135" s="5">
        <f>IF(V135&lt;$X$2,T135, +payroll!F135 * $X$2)</f>
        <v>168457.49190288555</v>
      </c>
      <c r="Z135" s="5">
        <f t="shared" si="30"/>
        <v>0</v>
      </c>
      <c r="AB135">
        <f t="shared" si="31"/>
        <v>1</v>
      </c>
    </row>
    <row r="136" spans="1:28">
      <c r="A136" t="s">
        <v>204</v>
      </c>
      <c r="B136" t="s">
        <v>205</v>
      </c>
      <c r="D136" s="42">
        <v>3</v>
      </c>
      <c r="E136" s="42">
        <v>4</v>
      </c>
      <c r="F136" s="42">
        <v>1</v>
      </c>
      <c r="G136">
        <f t="shared" si="26"/>
        <v>8</v>
      </c>
      <c r="I136" s="22">
        <f t="shared" si="27"/>
        <v>2.6666666666666665</v>
      </c>
      <c r="J136" s="6">
        <f>+IFR!AD136</f>
        <v>1.2348533427407679E-2</v>
      </c>
      <c r="K136" s="14">
        <f t="shared" si="32"/>
        <v>0.95</v>
      </c>
      <c r="L136" s="22">
        <f t="shared" si="28"/>
        <v>2.5333333333333332</v>
      </c>
      <c r="M136" s="14">
        <v>1</v>
      </c>
      <c r="N136" s="14">
        <v>1</v>
      </c>
      <c r="P136" s="22">
        <f t="shared" si="29"/>
        <v>2.5333333333333332</v>
      </c>
      <c r="R136" s="3">
        <f t="shared" si="33"/>
        <v>3.9587560130118079E-4</v>
      </c>
      <c r="T136" s="5">
        <f>+R136*(assessment!$J$272*assessment!$E$3)</f>
        <v>3062.863489143373</v>
      </c>
      <c r="V136" s="6">
        <f>+T136/payroll!F136</f>
        <v>3.1231549380341761E-4</v>
      </c>
      <c r="X136" s="5">
        <f>IF(V136&lt;$X$2,T136, +payroll!F136 * $X$2)</f>
        <v>3062.863489143373</v>
      </c>
      <c r="Z136" s="5">
        <f t="shared" si="30"/>
        <v>0</v>
      </c>
      <c r="AB136">
        <f t="shared" si="31"/>
        <v>1</v>
      </c>
    </row>
    <row r="137" spans="1:28">
      <c r="A137" t="s">
        <v>206</v>
      </c>
      <c r="B137" t="s">
        <v>207</v>
      </c>
      <c r="D137" s="42">
        <v>1</v>
      </c>
      <c r="E137" s="42">
        <v>7</v>
      </c>
      <c r="F137" s="42">
        <v>6</v>
      </c>
      <c r="G137">
        <f t="shared" si="26"/>
        <v>14</v>
      </c>
      <c r="I137" s="22">
        <f t="shared" si="27"/>
        <v>4.666666666666667</v>
      </c>
      <c r="J137" s="6">
        <f>+IFR!AD137</f>
        <v>2.9500571134193753E-2</v>
      </c>
      <c r="K137" s="14">
        <f t="shared" si="32"/>
        <v>0.95</v>
      </c>
      <c r="L137" s="22">
        <f t="shared" si="28"/>
        <v>4.4333333333333336</v>
      </c>
      <c r="M137" s="14">
        <v>1</v>
      </c>
      <c r="N137" s="14">
        <v>1</v>
      </c>
      <c r="P137" s="22">
        <f t="shared" si="29"/>
        <v>4.4333333333333336</v>
      </c>
      <c r="R137" s="3">
        <f t="shared" si="33"/>
        <v>6.9278230227706652E-4</v>
      </c>
      <c r="T137" s="5">
        <f>+R137*(assessment!$J$272*assessment!$E$3)</f>
        <v>5360.011106000904</v>
      </c>
      <c r="V137" s="6">
        <f>+T137/payroll!F137</f>
        <v>5.1189924448892012E-4</v>
      </c>
      <c r="X137" s="5">
        <f>IF(V137&lt;$X$2,T137, +payroll!F137 * $X$2)</f>
        <v>5360.011106000904</v>
      </c>
      <c r="Z137" s="5">
        <f t="shared" si="30"/>
        <v>0</v>
      </c>
      <c r="AB137">
        <f t="shared" si="31"/>
        <v>1</v>
      </c>
    </row>
    <row r="138" spans="1:28">
      <c r="A138" t="s">
        <v>208</v>
      </c>
      <c r="B138" t="s">
        <v>209</v>
      </c>
      <c r="D138" s="42">
        <v>0</v>
      </c>
      <c r="E138" s="42">
        <v>0</v>
      </c>
      <c r="F138" s="42">
        <v>0</v>
      </c>
      <c r="G138">
        <f t="shared" si="26"/>
        <v>0</v>
      </c>
      <c r="I138" s="22">
        <f t="shared" si="27"/>
        <v>0</v>
      </c>
      <c r="J138" s="6">
        <f>+IFR!AD138</f>
        <v>0</v>
      </c>
      <c r="K138" s="14">
        <f t="shared" si="32"/>
        <v>0.95</v>
      </c>
      <c r="L138" s="22">
        <f t="shared" si="28"/>
        <v>0</v>
      </c>
      <c r="M138" s="14">
        <v>1</v>
      </c>
      <c r="N138" s="14">
        <v>1</v>
      </c>
      <c r="P138" s="22">
        <f t="shared" si="29"/>
        <v>0</v>
      </c>
      <c r="R138" s="3">
        <f t="shared" si="33"/>
        <v>0</v>
      </c>
      <c r="T138" s="5">
        <f>+R138*(assessment!$J$272*assessment!$E$3)</f>
        <v>0</v>
      </c>
      <c r="V138" s="6">
        <f>+T138/payroll!F138</f>
        <v>0</v>
      </c>
      <c r="X138" s="5">
        <f>IF(V138&lt;$X$2,T138, +payroll!F138 * $X$2)</f>
        <v>0</v>
      </c>
      <c r="Z138" s="5">
        <f t="shared" si="30"/>
        <v>0</v>
      </c>
      <c r="AB138" t="e">
        <f t="shared" si="31"/>
        <v>#DIV/0!</v>
      </c>
    </row>
    <row r="139" spans="1:28">
      <c r="A139" t="s">
        <v>210</v>
      </c>
      <c r="B139" t="s">
        <v>461</v>
      </c>
      <c r="D139" s="42">
        <v>0</v>
      </c>
      <c r="E139" s="42">
        <v>0</v>
      </c>
      <c r="F139" s="42">
        <v>0</v>
      </c>
      <c r="G139">
        <f t="shared" si="26"/>
        <v>0</v>
      </c>
      <c r="I139" s="22">
        <f t="shared" si="27"/>
        <v>0</v>
      </c>
      <c r="J139" s="6">
        <f>+IFR!AD139</f>
        <v>0</v>
      </c>
      <c r="K139" s="14">
        <f t="shared" si="32"/>
        <v>0.95</v>
      </c>
      <c r="L139" s="22">
        <f t="shared" si="28"/>
        <v>0</v>
      </c>
      <c r="M139" s="14">
        <v>1</v>
      </c>
      <c r="N139" s="14">
        <v>1</v>
      </c>
      <c r="P139" s="22">
        <f t="shared" si="29"/>
        <v>0</v>
      </c>
      <c r="R139" s="3">
        <f t="shared" si="33"/>
        <v>0</v>
      </c>
      <c r="T139" s="5">
        <f>+R139*(assessment!$J$272*assessment!$E$3)</f>
        <v>0</v>
      </c>
      <c r="V139" s="6">
        <f>+T139/payroll!F139</f>
        <v>0</v>
      </c>
      <c r="X139" s="5">
        <f>IF(V139&lt;$X$2,T139, +payroll!F139 * $X$2)</f>
        <v>0</v>
      </c>
      <c r="Z139" s="5">
        <f t="shared" si="30"/>
        <v>0</v>
      </c>
      <c r="AB139" t="e">
        <f t="shared" si="31"/>
        <v>#DIV/0!</v>
      </c>
    </row>
    <row r="140" spans="1:28" outlineLevel="1">
      <c r="A140" t="s">
        <v>211</v>
      </c>
      <c r="B140" t="s">
        <v>212</v>
      </c>
      <c r="D140" s="42">
        <v>0</v>
      </c>
      <c r="E140" s="42">
        <v>0</v>
      </c>
      <c r="F140" s="42">
        <v>0</v>
      </c>
      <c r="G140">
        <f t="shared" si="26"/>
        <v>0</v>
      </c>
      <c r="I140" s="22">
        <f t="shared" si="27"/>
        <v>0</v>
      </c>
      <c r="J140" s="6">
        <f>+IFR!AD140</f>
        <v>0</v>
      </c>
      <c r="K140" s="14">
        <f t="shared" si="32"/>
        <v>0.95</v>
      </c>
      <c r="L140" s="22">
        <f t="shared" si="28"/>
        <v>0</v>
      </c>
      <c r="M140" s="14">
        <v>1</v>
      </c>
      <c r="N140" s="14">
        <v>1</v>
      </c>
      <c r="P140" s="22">
        <f t="shared" si="29"/>
        <v>0</v>
      </c>
      <c r="R140" s="3">
        <f t="shared" si="33"/>
        <v>0</v>
      </c>
      <c r="T140" s="5">
        <f>+R140*(assessment!$J$272*assessment!$E$3)</f>
        <v>0</v>
      </c>
      <c r="V140" s="6">
        <f>+T140/payroll!F140</f>
        <v>0</v>
      </c>
      <c r="X140" s="5">
        <f>IF(V140&lt;$X$2,T140, +payroll!F140 * $X$2)</f>
        <v>0</v>
      </c>
      <c r="Z140" s="5">
        <f t="shared" si="30"/>
        <v>0</v>
      </c>
      <c r="AB140" t="e">
        <f t="shared" si="31"/>
        <v>#DIV/0!</v>
      </c>
    </row>
    <row r="141" spans="1:28" outlineLevel="1">
      <c r="A141" t="s">
        <v>213</v>
      </c>
      <c r="B141" t="s">
        <v>214</v>
      </c>
      <c r="D141" s="42">
        <v>0</v>
      </c>
      <c r="E141" s="42">
        <v>0</v>
      </c>
      <c r="F141" s="42">
        <v>0</v>
      </c>
      <c r="G141">
        <f t="shared" si="26"/>
        <v>0</v>
      </c>
      <c r="I141" s="22">
        <f t="shared" si="27"/>
        <v>0</v>
      </c>
      <c r="J141" s="6">
        <f>+IFR!AD141</f>
        <v>0</v>
      </c>
      <c r="K141" s="14">
        <f t="shared" si="32"/>
        <v>0.95</v>
      </c>
      <c r="L141" s="22">
        <f t="shared" si="28"/>
        <v>0</v>
      </c>
      <c r="M141" s="14">
        <v>1</v>
      </c>
      <c r="N141" s="14">
        <v>1</v>
      </c>
      <c r="P141" s="22">
        <f t="shared" si="29"/>
        <v>0</v>
      </c>
      <c r="R141" s="3">
        <f t="shared" si="33"/>
        <v>0</v>
      </c>
      <c r="T141" s="5">
        <f>+R141*(assessment!$J$272*assessment!$E$3)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30"/>
        <v>0</v>
      </c>
      <c r="AB141" t="e">
        <f t="shared" si="31"/>
        <v>#DIV/0!</v>
      </c>
    </row>
    <row r="142" spans="1:28" outlineLevel="1">
      <c r="A142" t="s">
        <v>215</v>
      </c>
      <c r="B142" t="s">
        <v>216</v>
      </c>
      <c r="D142" s="42">
        <v>0</v>
      </c>
      <c r="E142" s="42">
        <v>0</v>
      </c>
      <c r="F142" s="42">
        <v>0</v>
      </c>
      <c r="G142">
        <f t="shared" si="26"/>
        <v>0</v>
      </c>
      <c r="I142" s="22">
        <f t="shared" si="27"/>
        <v>0</v>
      </c>
      <c r="J142" s="6">
        <f>+IFR!AD142</f>
        <v>0</v>
      </c>
      <c r="K142" s="14">
        <f t="shared" si="32"/>
        <v>0.95</v>
      </c>
      <c r="L142" s="22">
        <f t="shared" si="28"/>
        <v>0</v>
      </c>
      <c r="M142" s="14">
        <v>1</v>
      </c>
      <c r="N142" s="14">
        <v>1</v>
      </c>
      <c r="P142" s="22">
        <f t="shared" si="29"/>
        <v>0</v>
      </c>
      <c r="R142" s="3">
        <f t="shared" si="33"/>
        <v>0</v>
      </c>
      <c r="T142" s="5">
        <f>+R142*(assessment!$J$272*assessment!$E$3)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 t="shared" si="30"/>
        <v>0</v>
      </c>
      <c r="AB142" t="e">
        <f t="shared" si="31"/>
        <v>#DIV/0!</v>
      </c>
    </row>
    <row r="143" spans="1:28" outlineLevel="1">
      <c r="A143" t="s">
        <v>504</v>
      </c>
      <c r="B143" t="s">
        <v>502</v>
      </c>
      <c r="D143" s="42">
        <v>0</v>
      </c>
      <c r="E143" s="42">
        <v>0</v>
      </c>
      <c r="F143" s="42">
        <v>0</v>
      </c>
      <c r="G143">
        <f>SUM(D143:F143)</f>
        <v>0</v>
      </c>
      <c r="I143" s="22">
        <f>AVERAGE(D143:F143)</f>
        <v>0</v>
      </c>
      <c r="J143" s="6">
        <f>+IFR!AD143</f>
        <v>0</v>
      </c>
      <c r="K143" s="14">
        <f t="shared" si="32"/>
        <v>0.95</v>
      </c>
      <c r="L143" s="22">
        <f>+I143*K143</f>
        <v>0</v>
      </c>
      <c r="M143" s="14">
        <v>1</v>
      </c>
      <c r="N143" s="14">
        <v>1</v>
      </c>
      <c r="P143" s="22">
        <f>+L143*M143*N143</f>
        <v>0</v>
      </c>
      <c r="R143" s="3">
        <f t="shared" si="33"/>
        <v>0</v>
      </c>
      <c r="T143" s="5">
        <f>+R143*(assessment!$J$272*assessment!$E$3)</f>
        <v>0</v>
      </c>
      <c r="V143" s="6">
        <f>+T143/payroll!F143</f>
        <v>0</v>
      </c>
      <c r="X143" s="5">
        <f>IF(V143&lt;$X$2,T143, +payroll!F143 * $X$2)</f>
        <v>0</v>
      </c>
      <c r="Z143" s="5">
        <f>+T143-X143</f>
        <v>0</v>
      </c>
      <c r="AB143" t="e">
        <f>+X143/T143</f>
        <v>#DIV/0!</v>
      </c>
    </row>
    <row r="144" spans="1:28" outlineLevel="1">
      <c r="A144" t="s">
        <v>217</v>
      </c>
      <c r="B144" t="s">
        <v>218</v>
      </c>
      <c r="D144" s="42">
        <v>1</v>
      </c>
      <c r="E144" s="42">
        <v>1</v>
      </c>
      <c r="F144" s="42">
        <v>1</v>
      </c>
      <c r="G144">
        <f t="shared" si="26"/>
        <v>3</v>
      </c>
      <c r="I144" s="22">
        <f t="shared" si="27"/>
        <v>1</v>
      </c>
      <c r="J144" s="6">
        <f>+IFR!AD144</f>
        <v>0.01</v>
      </c>
      <c r="K144" s="14">
        <f t="shared" si="32"/>
        <v>0.95</v>
      </c>
      <c r="L144" s="22">
        <f t="shared" si="28"/>
        <v>0.95</v>
      </c>
      <c r="M144" s="14">
        <v>1</v>
      </c>
      <c r="N144" s="14">
        <v>1</v>
      </c>
      <c r="P144" s="22">
        <f t="shared" si="29"/>
        <v>0.95</v>
      </c>
      <c r="R144" s="3">
        <f t="shared" si="33"/>
        <v>1.4845335048794281E-4</v>
      </c>
      <c r="T144" s="5">
        <f>+R144*(assessment!$J$272*assessment!$E$3)</f>
        <v>1148.573808428765</v>
      </c>
      <c r="V144" s="6">
        <f>+T144/payroll!F144</f>
        <v>1.658859985255652E-3</v>
      </c>
      <c r="X144" s="5">
        <f>IF(V144&lt;$X$2,T144, +payroll!F144 * $X$2)</f>
        <v>1148.573808428765</v>
      </c>
      <c r="Z144" s="5">
        <f t="shared" si="30"/>
        <v>0</v>
      </c>
      <c r="AB144">
        <f t="shared" si="31"/>
        <v>1</v>
      </c>
    </row>
    <row r="145" spans="1:28" outlineLevel="1">
      <c r="A145" t="s">
        <v>219</v>
      </c>
      <c r="B145" t="s">
        <v>220</v>
      </c>
      <c r="D145" s="42">
        <v>0</v>
      </c>
      <c r="E145" s="42">
        <v>0</v>
      </c>
      <c r="F145" s="42">
        <v>0</v>
      </c>
      <c r="G145">
        <f t="shared" si="26"/>
        <v>0</v>
      </c>
      <c r="I145" s="22">
        <f t="shared" si="27"/>
        <v>0</v>
      </c>
      <c r="J145" s="6">
        <f>+IFR!AD145</f>
        <v>0</v>
      </c>
      <c r="K145" s="14">
        <f t="shared" si="32"/>
        <v>0.95</v>
      </c>
      <c r="L145" s="22">
        <f t="shared" si="28"/>
        <v>0</v>
      </c>
      <c r="M145" s="14">
        <v>1</v>
      </c>
      <c r="N145" s="14">
        <v>1</v>
      </c>
      <c r="P145" s="22">
        <f t="shared" si="29"/>
        <v>0</v>
      </c>
      <c r="R145" s="3">
        <f t="shared" si="33"/>
        <v>0</v>
      </c>
      <c r="T145" s="5">
        <f>+R145*(assessment!$J$272*assessment!$E$3)</f>
        <v>0</v>
      </c>
      <c r="V145" s="6">
        <f>+T145/payroll!F145</f>
        <v>0</v>
      </c>
      <c r="X145" s="5">
        <f>IF(V145&lt;$X$2,T145, +payroll!F145 * $X$2)</f>
        <v>0</v>
      </c>
      <c r="Z145" s="5">
        <f t="shared" si="30"/>
        <v>0</v>
      </c>
      <c r="AB145" t="e">
        <f t="shared" si="31"/>
        <v>#DIV/0!</v>
      </c>
    </row>
    <row r="146" spans="1:28" outlineLevel="1">
      <c r="A146" t="s">
        <v>221</v>
      </c>
      <c r="B146" t="s">
        <v>222</v>
      </c>
      <c r="D146" s="42">
        <v>1</v>
      </c>
      <c r="E146" s="42">
        <v>0</v>
      </c>
      <c r="F146" s="42">
        <v>1</v>
      </c>
      <c r="G146">
        <f t="shared" si="26"/>
        <v>2</v>
      </c>
      <c r="I146" s="22">
        <f t="shared" si="27"/>
        <v>0.66666666666666663</v>
      </c>
      <c r="J146" s="6">
        <f>+IFR!AD146</f>
        <v>6.6666666666666671E-3</v>
      </c>
      <c r="K146" s="14">
        <f t="shared" si="32"/>
        <v>0.95</v>
      </c>
      <c r="L146" s="22">
        <f t="shared" si="28"/>
        <v>0.6333333333333333</v>
      </c>
      <c r="M146" s="14">
        <v>1</v>
      </c>
      <c r="N146" s="14">
        <v>1</v>
      </c>
      <c r="P146" s="22">
        <f t="shared" si="29"/>
        <v>0.6333333333333333</v>
      </c>
      <c r="R146" s="3">
        <f t="shared" si="33"/>
        <v>9.8968900325295198E-5</v>
      </c>
      <c r="T146" s="5">
        <f>+R146*(assessment!$J$272*assessment!$E$3)</f>
        <v>765.71587228584326</v>
      </c>
      <c r="V146" s="6">
        <f>+T146/payroll!F146</f>
        <v>6.7459780854267685E-5</v>
      </c>
      <c r="X146" s="5">
        <f>IF(V146&lt;$X$2,T146, +payroll!F146 * $X$2)</f>
        <v>765.71587228584326</v>
      </c>
      <c r="Z146" s="5">
        <f t="shared" si="30"/>
        <v>0</v>
      </c>
      <c r="AB146">
        <f t="shared" si="31"/>
        <v>1</v>
      </c>
    </row>
    <row r="147" spans="1:28" outlineLevel="1">
      <c r="A147" t="s">
        <v>223</v>
      </c>
      <c r="B147" t="s">
        <v>224</v>
      </c>
      <c r="D147" s="42">
        <v>12</v>
      </c>
      <c r="E147" s="42">
        <v>14</v>
      </c>
      <c r="F147" s="42">
        <v>8</v>
      </c>
      <c r="G147">
        <f t="shared" si="26"/>
        <v>34</v>
      </c>
      <c r="I147" s="22">
        <f t="shared" si="27"/>
        <v>11.333333333333334</v>
      </c>
      <c r="J147" s="6">
        <f>+IFR!AD147</f>
        <v>2.1883060489123595E-2</v>
      </c>
      <c r="K147" s="14">
        <f t="shared" si="32"/>
        <v>0.95</v>
      </c>
      <c r="L147" s="22">
        <f t="shared" si="28"/>
        <v>10.766666666666667</v>
      </c>
      <c r="M147" s="14">
        <v>1</v>
      </c>
      <c r="N147" s="14">
        <v>1</v>
      </c>
      <c r="P147" s="22">
        <f t="shared" si="29"/>
        <v>10.766666666666667</v>
      </c>
      <c r="R147" s="3">
        <f t="shared" si="33"/>
        <v>1.6824713055300187E-3</v>
      </c>
      <c r="T147" s="5">
        <f>+R147*(assessment!$J$272*assessment!$E$3)</f>
        <v>13017.169828859338</v>
      </c>
      <c r="V147" s="6">
        <f>+T147/payroll!F147</f>
        <v>1.1945233717051114E-3</v>
      </c>
      <c r="X147" s="5">
        <f>IF(V147&lt;$X$2,T147, +payroll!F147 * $X$2)</f>
        <v>13017.169828859338</v>
      </c>
      <c r="Z147" s="5">
        <f t="shared" si="30"/>
        <v>0</v>
      </c>
      <c r="AB147">
        <f t="shared" si="31"/>
        <v>1</v>
      </c>
    </row>
    <row r="148" spans="1:28" outlineLevel="1">
      <c r="A148" t="s">
        <v>225</v>
      </c>
      <c r="B148" t="s">
        <v>226</v>
      </c>
      <c r="D148" s="42">
        <v>1</v>
      </c>
      <c r="E148" s="42">
        <v>0</v>
      </c>
      <c r="F148" s="42">
        <v>1</v>
      </c>
      <c r="G148">
        <f t="shared" si="26"/>
        <v>2</v>
      </c>
      <c r="I148" s="22">
        <f t="shared" si="27"/>
        <v>0.66666666666666663</v>
      </c>
      <c r="J148" s="6">
        <f>+IFR!AD148</f>
        <v>6.6666666666666671E-3</v>
      </c>
      <c r="K148" s="14">
        <f t="shared" si="32"/>
        <v>0.95</v>
      </c>
      <c r="L148" s="22">
        <f t="shared" si="28"/>
        <v>0.6333333333333333</v>
      </c>
      <c r="M148" s="14">
        <v>1</v>
      </c>
      <c r="N148" s="14">
        <v>1</v>
      </c>
      <c r="P148" s="22">
        <f t="shared" si="29"/>
        <v>0.6333333333333333</v>
      </c>
      <c r="R148" s="3">
        <f t="shared" si="33"/>
        <v>9.8968900325295198E-5</v>
      </c>
      <c r="T148" s="5">
        <f>+R148*(assessment!$J$272*assessment!$E$3)</f>
        <v>765.71587228584326</v>
      </c>
      <c r="V148" s="6">
        <f>+T148/payroll!F148</f>
        <v>2.5171520982383779E-4</v>
      </c>
      <c r="X148" s="5">
        <f>IF(V148&lt;$X$2,T148, +payroll!F148 * $X$2)</f>
        <v>765.71587228584326</v>
      </c>
      <c r="Z148" s="5">
        <f t="shared" si="30"/>
        <v>0</v>
      </c>
      <c r="AB148">
        <f t="shared" si="31"/>
        <v>1</v>
      </c>
    </row>
    <row r="149" spans="1:28" outlineLevel="1">
      <c r="A149" t="s">
        <v>227</v>
      </c>
      <c r="B149" t="s">
        <v>228</v>
      </c>
      <c r="D149" s="42">
        <v>0</v>
      </c>
      <c r="E149" s="42">
        <v>2</v>
      </c>
      <c r="F149" s="42">
        <v>0</v>
      </c>
      <c r="G149">
        <f t="shared" si="26"/>
        <v>2</v>
      </c>
      <c r="I149" s="22">
        <f t="shared" si="27"/>
        <v>0.66666666666666663</v>
      </c>
      <c r="J149" s="6">
        <f>+IFR!AD149</f>
        <v>6.6666666666666671E-3</v>
      </c>
      <c r="K149" s="14">
        <f t="shared" si="32"/>
        <v>0.95</v>
      </c>
      <c r="L149" s="22">
        <f t="shared" si="28"/>
        <v>0.6333333333333333</v>
      </c>
      <c r="M149" s="14">
        <v>1</v>
      </c>
      <c r="N149" s="14">
        <v>1</v>
      </c>
      <c r="P149" s="22">
        <f t="shared" si="29"/>
        <v>0.6333333333333333</v>
      </c>
      <c r="R149" s="3">
        <f t="shared" si="33"/>
        <v>9.8968900325295198E-5</v>
      </c>
      <c r="T149" s="5">
        <f>+R149*(assessment!$J$272*assessment!$E$3)</f>
        <v>765.71587228584326</v>
      </c>
      <c r="V149" s="6">
        <f>+T149/payroll!F149</f>
        <v>2.9146773827191859E-4</v>
      </c>
      <c r="X149" s="5">
        <f>IF(V149&lt;$X$2,T149, +payroll!F149 * $X$2)</f>
        <v>765.71587228584326</v>
      </c>
      <c r="Z149" s="5">
        <f t="shared" si="30"/>
        <v>0</v>
      </c>
      <c r="AB149">
        <f t="shared" si="31"/>
        <v>1</v>
      </c>
    </row>
    <row r="150" spans="1:28" outlineLevel="1">
      <c r="A150" t="s">
        <v>229</v>
      </c>
      <c r="B150" t="s">
        <v>230</v>
      </c>
      <c r="D150" s="42">
        <v>1</v>
      </c>
      <c r="E150" s="42">
        <v>0</v>
      </c>
      <c r="F150" s="42">
        <v>0</v>
      </c>
      <c r="G150">
        <f t="shared" si="26"/>
        <v>1</v>
      </c>
      <c r="I150" s="22">
        <f t="shared" si="27"/>
        <v>0.33333333333333331</v>
      </c>
      <c r="J150" s="6">
        <f>+IFR!AD150</f>
        <v>1.6666666666666668E-3</v>
      </c>
      <c r="K150" s="14">
        <f t="shared" si="32"/>
        <v>0.95</v>
      </c>
      <c r="L150" s="22">
        <f t="shared" si="28"/>
        <v>0.31666666666666665</v>
      </c>
      <c r="M150" s="14">
        <v>1</v>
      </c>
      <c r="N150" s="14">
        <v>1</v>
      </c>
      <c r="P150" s="22">
        <f t="shared" si="29"/>
        <v>0.31666666666666665</v>
      </c>
      <c r="R150" s="3">
        <f t="shared" si="33"/>
        <v>4.9484450162647599E-5</v>
      </c>
      <c r="T150" s="5">
        <f>+R150*(assessment!$J$272*assessment!$E$3)</f>
        <v>382.85793614292163</v>
      </c>
      <c r="V150" s="6">
        <f>+T150/payroll!F150</f>
        <v>2.8489630682203732E-4</v>
      </c>
      <c r="X150" s="5">
        <f>IF(V150&lt;$X$2,T150, +payroll!F150 * $X$2)</f>
        <v>382.85793614292163</v>
      </c>
      <c r="Z150" s="5">
        <f t="shared" si="30"/>
        <v>0</v>
      </c>
      <c r="AB150">
        <f t="shared" si="31"/>
        <v>1</v>
      </c>
    </row>
    <row r="151" spans="1:28" outlineLevel="1">
      <c r="A151" t="s">
        <v>231</v>
      </c>
      <c r="B151" t="s">
        <v>232</v>
      </c>
      <c r="D151" s="42">
        <v>0</v>
      </c>
      <c r="E151" s="42">
        <v>0</v>
      </c>
      <c r="F151" s="42">
        <v>0</v>
      </c>
      <c r="G151">
        <f t="shared" si="26"/>
        <v>0</v>
      </c>
      <c r="I151" s="22">
        <f t="shared" si="27"/>
        <v>0</v>
      </c>
      <c r="J151" s="6">
        <f>+IFR!AD151</f>
        <v>0</v>
      </c>
      <c r="K151" s="14">
        <f t="shared" si="32"/>
        <v>0.95</v>
      </c>
      <c r="L151" s="22">
        <f t="shared" si="28"/>
        <v>0</v>
      </c>
      <c r="M151" s="14">
        <v>1</v>
      </c>
      <c r="N151" s="14">
        <v>1</v>
      </c>
      <c r="P151" s="22">
        <f t="shared" si="29"/>
        <v>0</v>
      </c>
      <c r="R151" s="3">
        <f t="shared" si="33"/>
        <v>0</v>
      </c>
      <c r="T151" s="5">
        <f>+R151*(assessment!$J$272*assessment!$E$3)</f>
        <v>0</v>
      </c>
      <c r="V151" s="6">
        <f>+T151/payroll!F151</f>
        <v>0</v>
      </c>
      <c r="X151" s="5">
        <f>IF(V151&lt;$X$2,T151, +payroll!F151 * $X$2)</f>
        <v>0</v>
      </c>
      <c r="Z151" s="5">
        <f t="shared" si="30"/>
        <v>0</v>
      </c>
      <c r="AB151" t="e">
        <f t="shared" si="31"/>
        <v>#DIV/0!</v>
      </c>
    </row>
    <row r="152" spans="1:28" outlineLevel="1">
      <c r="A152" t="s">
        <v>233</v>
      </c>
      <c r="B152" t="s">
        <v>234</v>
      </c>
      <c r="D152" s="42">
        <v>0</v>
      </c>
      <c r="E152" s="42">
        <v>0</v>
      </c>
      <c r="F152" s="42">
        <v>2</v>
      </c>
      <c r="G152">
        <f t="shared" si="26"/>
        <v>2</v>
      </c>
      <c r="I152" s="22">
        <f t="shared" si="27"/>
        <v>0.66666666666666663</v>
      </c>
      <c r="J152" s="6">
        <f>+IFR!AD152</f>
        <v>0.01</v>
      </c>
      <c r="K152" s="14">
        <f t="shared" si="32"/>
        <v>0.95</v>
      </c>
      <c r="L152" s="22">
        <f t="shared" si="28"/>
        <v>0.6333333333333333</v>
      </c>
      <c r="M152" s="14">
        <v>1</v>
      </c>
      <c r="N152" s="14">
        <v>1</v>
      </c>
      <c r="P152" s="22">
        <f t="shared" si="29"/>
        <v>0.6333333333333333</v>
      </c>
      <c r="R152" s="3">
        <f t="shared" si="33"/>
        <v>9.8968900325295198E-5</v>
      </c>
      <c r="T152" s="5">
        <f>+R152*(assessment!$J$272*assessment!$E$3)</f>
        <v>765.71587228584326</v>
      </c>
      <c r="V152" s="6">
        <f>+T152/payroll!F152</f>
        <v>2.8648621290747222E-4</v>
      </c>
      <c r="X152" s="5">
        <f>IF(V152&lt;$X$2,T152, +payroll!F152 * $X$2)</f>
        <v>765.71587228584326</v>
      </c>
      <c r="Z152" s="5">
        <f t="shared" si="30"/>
        <v>0</v>
      </c>
      <c r="AB152">
        <f t="shared" si="31"/>
        <v>1</v>
      </c>
    </row>
    <row r="153" spans="1:28" outlineLevel="1">
      <c r="A153" t="s">
        <v>235</v>
      </c>
      <c r="B153" t="s">
        <v>236</v>
      </c>
      <c r="D153" s="42">
        <v>0</v>
      </c>
      <c r="E153" s="42">
        <v>1</v>
      </c>
      <c r="F153" s="42">
        <v>2</v>
      </c>
      <c r="G153">
        <f t="shared" si="26"/>
        <v>3</v>
      </c>
      <c r="I153" s="22">
        <f t="shared" si="27"/>
        <v>1</v>
      </c>
      <c r="J153" s="6">
        <f>+IFR!AD153</f>
        <v>1.3333333333333334E-2</v>
      </c>
      <c r="K153" s="14">
        <f t="shared" si="32"/>
        <v>0.95</v>
      </c>
      <c r="L153" s="22">
        <f t="shared" si="28"/>
        <v>0.95</v>
      </c>
      <c r="M153" s="14">
        <v>1</v>
      </c>
      <c r="N153" s="14">
        <v>1</v>
      </c>
      <c r="P153" s="22">
        <f t="shared" si="29"/>
        <v>0.95</v>
      </c>
      <c r="R153" s="3">
        <f t="shared" si="33"/>
        <v>1.4845335048794281E-4</v>
      </c>
      <c r="T153" s="5">
        <f>+R153*(assessment!$J$272*assessment!$E$3)</f>
        <v>1148.573808428765</v>
      </c>
      <c r="V153" s="6">
        <f>+T153/payroll!F153</f>
        <v>2.3441308315139063E-4</v>
      </c>
      <c r="X153" s="5">
        <f>IF(V153&lt;$X$2,T153, +payroll!F153 * $X$2)</f>
        <v>1148.573808428765</v>
      </c>
      <c r="Z153" s="5">
        <f t="shared" si="30"/>
        <v>0</v>
      </c>
      <c r="AB153">
        <f t="shared" si="31"/>
        <v>1</v>
      </c>
    </row>
    <row r="154" spans="1:28" outlineLevel="1">
      <c r="A154" t="s">
        <v>237</v>
      </c>
      <c r="B154" t="s">
        <v>238</v>
      </c>
      <c r="D154" s="42">
        <v>0</v>
      </c>
      <c r="E154" s="42">
        <v>2</v>
      </c>
      <c r="F154" s="42">
        <v>3</v>
      </c>
      <c r="G154">
        <f t="shared" si="26"/>
        <v>5</v>
      </c>
      <c r="I154" s="22">
        <f t="shared" si="27"/>
        <v>1.6666666666666667</v>
      </c>
      <c r="J154" s="6">
        <f>+IFR!AD154</f>
        <v>1.600632787642866E-2</v>
      </c>
      <c r="K154" s="14">
        <f t="shared" si="32"/>
        <v>0.95</v>
      </c>
      <c r="L154" s="22">
        <f t="shared" si="28"/>
        <v>1.5833333333333333</v>
      </c>
      <c r="M154" s="14">
        <v>1</v>
      </c>
      <c r="N154" s="14">
        <v>1</v>
      </c>
      <c r="P154" s="22">
        <f t="shared" si="29"/>
        <v>1.5833333333333333</v>
      </c>
      <c r="R154" s="3">
        <f t="shared" si="33"/>
        <v>2.4742225081323798E-4</v>
      </c>
      <c r="T154" s="5">
        <f>+R154*(assessment!$J$272*assessment!$E$3)</f>
        <v>1914.289680714608</v>
      </c>
      <c r="V154" s="6">
        <f>+T154/payroll!F154</f>
        <v>5.8469496758391552E-4</v>
      </c>
      <c r="X154" s="5">
        <f>IF(V154&lt;$X$2,T154, +payroll!F154 * $X$2)</f>
        <v>1914.289680714608</v>
      </c>
      <c r="Z154" s="5">
        <f t="shared" si="30"/>
        <v>0</v>
      </c>
      <c r="AB154">
        <f t="shared" si="31"/>
        <v>1</v>
      </c>
    </row>
    <row r="155" spans="1:28" outlineLevel="1">
      <c r="A155" t="s">
        <v>239</v>
      </c>
      <c r="B155" t="s">
        <v>240</v>
      </c>
      <c r="D155" s="42">
        <v>0</v>
      </c>
      <c r="E155" s="42">
        <v>0</v>
      </c>
      <c r="F155" s="42">
        <v>0</v>
      </c>
      <c r="G155">
        <f t="shared" si="26"/>
        <v>0</v>
      </c>
      <c r="I155" s="22">
        <f t="shared" si="27"/>
        <v>0</v>
      </c>
      <c r="J155" s="6">
        <f>+IFR!AD155</f>
        <v>0</v>
      </c>
      <c r="K155" s="14">
        <f t="shared" si="32"/>
        <v>0.95</v>
      </c>
      <c r="L155" s="22">
        <f t="shared" si="28"/>
        <v>0</v>
      </c>
      <c r="M155" s="14">
        <v>1</v>
      </c>
      <c r="N155" s="14">
        <v>1</v>
      </c>
      <c r="P155" s="22">
        <f t="shared" si="29"/>
        <v>0</v>
      </c>
      <c r="R155" s="3">
        <f t="shared" si="33"/>
        <v>0</v>
      </c>
      <c r="T155" s="5">
        <f>+R155*(assessment!$J$272*assessment!$E$3)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30"/>
        <v>0</v>
      </c>
      <c r="AB155" t="e">
        <f t="shared" si="31"/>
        <v>#DIV/0!</v>
      </c>
    </row>
    <row r="156" spans="1:28" outlineLevel="1">
      <c r="A156" t="s">
        <v>241</v>
      </c>
      <c r="B156" t="s">
        <v>242</v>
      </c>
      <c r="D156" s="42">
        <v>0</v>
      </c>
      <c r="E156" s="42">
        <v>0</v>
      </c>
      <c r="F156" s="42">
        <v>0</v>
      </c>
      <c r="G156">
        <f t="shared" si="26"/>
        <v>0</v>
      </c>
      <c r="I156" s="22">
        <f t="shared" si="27"/>
        <v>0</v>
      </c>
      <c r="J156" s="6">
        <f>+IFR!AD156</f>
        <v>0</v>
      </c>
      <c r="K156" s="14">
        <f t="shared" si="32"/>
        <v>0.95</v>
      </c>
      <c r="L156" s="22">
        <f t="shared" si="28"/>
        <v>0</v>
      </c>
      <c r="M156" s="14">
        <v>1</v>
      </c>
      <c r="N156" s="14">
        <v>1</v>
      </c>
      <c r="P156" s="22">
        <f t="shared" si="29"/>
        <v>0</v>
      </c>
      <c r="R156" s="3">
        <f t="shared" si="33"/>
        <v>0</v>
      </c>
      <c r="T156" s="5">
        <f>+R156*(assessment!$J$272*assessment!$E$3)</f>
        <v>0</v>
      </c>
      <c r="V156" s="6">
        <f>+T156/payroll!F156</f>
        <v>0</v>
      </c>
      <c r="X156" s="5">
        <f>IF(V156&lt;$X$2,T156, +payroll!F156 * $X$2)</f>
        <v>0</v>
      </c>
      <c r="Z156" s="5">
        <f t="shared" si="30"/>
        <v>0</v>
      </c>
      <c r="AB156" t="e">
        <f t="shared" si="31"/>
        <v>#DIV/0!</v>
      </c>
    </row>
    <row r="157" spans="1:28" outlineLevel="1">
      <c r="A157" t="s">
        <v>243</v>
      </c>
      <c r="B157" t="s">
        <v>244</v>
      </c>
      <c r="D157" s="42">
        <v>0</v>
      </c>
      <c r="E157" s="42">
        <v>0</v>
      </c>
      <c r="F157" s="42">
        <v>0</v>
      </c>
      <c r="G157">
        <f t="shared" si="26"/>
        <v>0</v>
      </c>
      <c r="I157" s="22">
        <f t="shared" si="27"/>
        <v>0</v>
      </c>
      <c r="J157" s="6">
        <f>+IFR!AD157</f>
        <v>0</v>
      </c>
      <c r="K157" s="14">
        <f t="shared" si="32"/>
        <v>0.95</v>
      </c>
      <c r="L157" s="22">
        <f t="shared" si="28"/>
        <v>0</v>
      </c>
      <c r="M157" s="14">
        <v>1</v>
      </c>
      <c r="N157" s="14">
        <v>1</v>
      </c>
      <c r="P157" s="22">
        <f t="shared" si="29"/>
        <v>0</v>
      </c>
      <c r="R157" s="3">
        <f t="shared" si="33"/>
        <v>0</v>
      </c>
      <c r="T157" s="5">
        <f>+R157*(assessment!$J$272*assessment!$E$3)</f>
        <v>0</v>
      </c>
      <c r="V157" s="6">
        <f>+T157/payroll!F157</f>
        <v>0</v>
      </c>
      <c r="X157" s="5">
        <f>IF(V157&lt;$X$2,T157, +payroll!F157 * $X$2)</f>
        <v>0</v>
      </c>
      <c r="Z157" s="5">
        <f t="shared" si="30"/>
        <v>0</v>
      </c>
      <c r="AB157" t="e">
        <f t="shared" si="31"/>
        <v>#DIV/0!</v>
      </c>
    </row>
    <row r="158" spans="1:28" outlineLevel="1">
      <c r="A158" t="s">
        <v>245</v>
      </c>
      <c r="B158" t="s">
        <v>246</v>
      </c>
      <c r="D158" s="42">
        <v>3</v>
      </c>
      <c r="E158" s="42">
        <v>3</v>
      </c>
      <c r="F158" s="42">
        <v>0</v>
      </c>
      <c r="G158">
        <f t="shared" si="26"/>
        <v>6</v>
      </c>
      <c r="I158" s="22">
        <f t="shared" si="27"/>
        <v>2</v>
      </c>
      <c r="J158" s="6">
        <f>+IFR!AD158</f>
        <v>1.470873786407767E-2</v>
      </c>
      <c r="K158" s="14">
        <f t="shared" si="32"/>
        <v>0.95</v>
      </c>
      <c r="L158" s="22">
        <f t="shared" si="28"/>
        <v>1.9</v>
      </c>
      <c r="M158" s="14">
        <v>1</v>
      </c>
      <c r="N158" s="14">
        <v>1</v>
      </c>
      <c r="P158" s="22">
        <f t="shared" si="29"/>
        <v>1.9</v>
      </c>
      <c r="R158" s="3">
        <f t="shared" si="33"/>
        <v>2.9690670097588562E-4</v>
      </c>
      <c r="T158" s="5">
        <f>+R158*(assessment!$J$272*assessment!$E$3)</f>
        <v>2297.14761685753</v>
      </c>
      <c r="V158" s="6">
        <f>+T158/payroll!F158</f>
        <v>9.530001446496838E-4</v>
      </c>
      <c r="X158" s="5">
        <f>IF(V158&lt;$X$2,T158, +payroll!F158 * $X$2)</f>
        <v>2297.14761685753</v>
      </c>
      <c r="Z158" s="5">
        <f t="shared" si="30"/>
        <v>0</v>
      </c>
      <c r="AB158">
        <f t="shared" si="31"/>
        <v>1</v>
      </c>
    </row>
    <row r="159" spans="1:28" outlineLevel="1">
      <c r="A159" t="s">
        <v>247</v>
      </c>
      <c r="B159" t="s">
        <v>248</v>
      </c>
      <c r="D159" s="42">
        <v>0</v>
      </c>
      <c r="E159" s="42">
        <v>0</v>
      </c>
      <c r="F159" s="42">
        <v>0</v>
      </c>
      <c r="G159">
        <f t="shared" si="26"/>
        <v>0</v>
      </c>
      <c r="I159" s="22">
        <f t="shared" si="27"/>
        <v>0</v>
      </c>
      <c r="J159" s="6">
        <f>+IFR!AD159</f>
        <v>0</v>
      </c>
      <c r="K159" s="14">
        <f t="shared" si="32"/>
        <v>0.95</v>
      </c>
      <c r="L159" s="22">
        <f t="shared" si="28"/>
        <v>0</v>
      </c>
      <c r="M159" s="14">
        <v>1</v>
      </c>
      <c r="N159" s="14">
        <v>1</v>
      </c>
      <c r="P159" s="22">
        <f t="shared" si="29"/>
        <v>0</v>
      </c>
      <c r="R159" s="3">
        <f t="shared" si="33"/>
        <v>0</v>
      </c>
      <c r="T159" s="5">
        <f>+R159*(assessment!$J$272*assessment!$E$3)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30"/>
        <v>0</v>
      </c>
      <c r="AB159" t="e">
        <f t="shared" si="31"/>
        <v>#DIV/0!</v>
      </c>
    </row>
    <row r="160" spans="1:28" outlineLevel="1">
      <c r="A160" t="s">
        <v>249</v>
      </c>
      <c r="B160" t="s">
        <v>250</v>
      </c>
      <c r="D160" s="42">
        <v>0</v>
      </c>
      <c r="E160" s="42">
        <v>0</v>
      </c>
      <c r="F160" s="42">
        <v>0</v>
      </c>
      <c r="G160">
        <f t="shared" si="26"/>
        <v>0</v>
      </c>
      <c r="I160" s="22">
        <f t="shared" si="27"/>
        <v>0</v>
      </c>
      <c r="J160" s="6">
        <f>+IFR!AD160</f>
        <v>0</v>
      </c>
      <c r="K160" s="14">
        <f t="shared" si="32"/>
        <v>0.95</v>
      </c>
      <c r="L160" s="22">
        <f t="shared" si="28"/>
        <v>0</v>
      </c>
      <c r="M160" s="14">
        <v>1</v>
      </c>
      <c r="N160" s="14">
        <v>1</v>
      </c>
      <c r="P160" s="22">
        <f t="shared" si="29"/>
        <v>0</v>
      </c>
      <c r="R160" s="3">
        <f t="shared" si="33"/>
        <v>0</v>
      </c>
      <c r="T160" s="5">
        <f>+R160*(assessment!$J$272*assessment!$E$3)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30"/>
        <v>0</v>
      </c>
      <c r="AB160" t="e">
        <f t="shared" si="31"/>
        <v>#DIV/0!</v>
      </c>
    </row>
    <row r="161" spans="1:28" outlineLevel="1">
      <c r="A161" t="s">
        <v>251</v>
      </c>
      <c r="B161" t="s">
        <v>252</v>
      </c>
      <c r="D161" s="42">
        <v>1</v>
      </c>
      <c r="E161" s="42">
        <v>0</v>
      </c>
      <c r="F161" s="42">
        <v>0</v>
      </c>
      <c r="G161">
        <f t="shared" si="26"/>
        <v>1</v>
      </c>
      <c r="I161" s="22">
        <f t="shared" si="27"/>
        <v>0.33333333333333331</v>
      </c>
      <c r="J161" s="6">
        <f>+IFR!AD161</f>
        <v>1.6666666666666668E-3</v>
      </c>
      <c r="K161" s="14">
        <f t="shared" si="32"/>
        <v>0.95</v>
      </c>
      <c r="L161" s="22">
        <f t="shared" si="28"/>
        <v>0.31666666666666665</v>
      </c>
      <c r="M161" s="14">
        <v>1</v>
      </c>
      <c r="N161" s="14">
        <v>1</v>
      </c>
      <c r="P161" s="22">
        <f t="shared" si="29"/>
        <v>0.31666666666666665</v>
      </c>
      <c r="R161" s="3">
        <f t="shared" si="33"/>
        <v>4.9484450162647599E-5</v>
      </c>
      <c r="T161" s="5">
        <f>+R161*(assessment!$J$272*assessment!$E$3)</f>
        <v>382.85793614292163</v>
      </c>
      <c r="V161" s="6">
        <f>+T161/payroll!F161</f>
        <v>1.793199396843794E-3</v>
      </c>
      <c r="X161" s="5">
        <f>IF(V161&lt;$X$2,T161, +payroll!F161 * $X$2)</f>
        <v>382.85793614292163</v>
      </c>
      <c r="Z161" s="5">
        <f t="shared" si="30"/>
        <v>0</v>
      </c>
      <c r="AB161">
        <f t="shared" si="31"/>
        <v>1</v>
      </c>
    </row>
    <row r="162" spans="1:28" outlineLevel="1">
      <c r="A162" t="s">
        <v>495</v>
      </c>
      <c r="B162" t="s">
        <v>496</v>
      </c>
      <c r="D162" s="42">
        <v>0</v>
      </c>
      <c r="E162" s="42">
        <v>0</v>
      </c>
      <c r="F162" s="42">
        <v>0</v>
      </c>
      <c r="G162">
        <f>SUM(D162:F162)</f>
        <v>0</v>
      </c>
      <c r="I162" s="22">
        <f>AVERAGE(D162:F162)</f>
        <v>0</v>
      </c>
      <c r="J162" s="6">
        <f>+IFR!AD162</f>
        <v>0</v>
      </c>
      <c r="K162" s="14">
        <f t="shared" si="32"/>
        <v>0.95</v>
      </c>
      <c r="L162" s="22">
        <f>+I162*K162</f>
        <v>0</v>
      </c>
      <c r="M162" s="14">
        <v>1</v>
      </c>
      <c r="N162" s="14">
        <v>1</v>
      </c>
      <c r="P162" s="22">
        <f>+L162*M162*N162</f>
        <v>0</v>
      </c>
      <c r="R162" s="3">
        <f t="shared" ref="R162:R195" si="34">+P162/$P$264</f>
        <v>0</v>
      </c>
      <c r="T162" s="5">
        <f>+R162*(assessment!$J$272*assessment!$E$3)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>+T162-X162</f>
        <v>0</v>
      </c>
      <c r="AB162" t="e">
        <f t="shared" si="31"/>
        <v>#DIV/0!</v>
      </c>
    </row>
    <row r="163" spans="1:28" outlineLevel="1">
      <c r="A163" t="s">
        <v>253</v>
      </c>
      <c r="B163" t="s">
        <v>254</v>
      </c>
      <c r="D163" s="42">
        <v>4</v>
      </c>
      <c r="E163" s="42">
        <v>7</v>
      </c>
      <c r="F163" s="42">
        <v>10</v>
      </c>
      <c r="G163">
        <f t="shared" si="26"/>
        <v>21</v>
      </c>
      <c r="I163" s="22">
        <f t="shared" si="27"/>
        <v>7</v>
      </c>
      <c r="J163" s="6">
        <f>+IFR!AD163</f>
        <v>1.4985145987741704E-2</v>
      </c>
      <c r="K163" s="14">
        <f t="shared" si="32"/>
        <v>0.95</v>
      </c>
      <c r="L163" s="22">
        <f t="shared" si="28"/>
        <v>6.6499999999999995</v>
      </c>
      <c r="M163" s="14">
        <v>1</v>
      </c>
      <c r="N163" s="14">
        <v>1</v>
      </c>
      <c r="P163" s="22">
        <f t="shared" si="29"/>
        <v>6.6499999999999995</v>
      </c>
      <c r="R163" s="3">
        <f t="shared" si="34"/>
        <v>1.0391734534155996E-3</v>
      </c>
      <c r="T163" s="5">
        <f>+R163*(assessment!$J$272*assessment!$E$3)</f>
        <v>8040.0166590013541</v>
      </c>
      <c r="V163" s="6">
        <f>+T163/payroll!F163</f>
        <v>5.640084742110172E-4</v>
      </c>
      <c r="X163" s="5">
        <f>IF(V163&lt;$X$2,T163, +payroll!F163 * $X$2)</f>
        <v>8040.0166590013541</v>
      </c>
      <c r="Z163" s="5">
        <f t="shared" si="30"/>
        <v>0</v>
      </c>
      <c r="AB163">
        <f t="shared" si="31"/>
        <v>1</v>
      </c>
    </row>
    <row r="164" spans="1:28" outlineLevel="1">
      <c r="A164" t="s">
        <v>255</v>
      </c>
      <c r="B164" t="s">
        <v>256</v>
      </c>
      <c r="D164" s="42">
        <v>0</v>
      </c>
      <c r="E164" s="42">
        <v>0</v>
      </c>
      <c r="F164" s="42">
        <v>0</v>
      </c>
      <c r="G164">
        <f t="shared" si="26"/>
        <v>0</v>
      </c>
      <c r="I164" s="22">
        <f t="shared" si="27"/>
        <v>0</v>
      </c>
      <c r="J164" s="6">
        <f>+IFR!AD164</f>
        <v>0</v>
      </c>
      <c r="K164" s="14">
        <f t="shared" si="32"/>
        <v>0.95</v>
      </c>
      <c r="L164" s="22">
        <f t="shared" si="28"/>
        <v>0</v>
      </c>
      <c r="M164" s="14">
        <v>1</v>
      </c>
      <c r="N164" s="14">
        <v>1</v>
      </c>
      <c r="P164" s="22">
        <f t="shared" si="29"/>
        <v>0</v>
      </c>
      <c r="R164" s="3">
        <f t="shared" si="34"/>
        <v>0</v>
      </c>
      <c r="T164" s="5">
        <f>+R164*(assessment!$J$272*assessment!$E$3)</f>
        <v>0</v>
      </c>
      <c r="V164" s="6">
        <f>+T164/payroll!F164</f>
        <v>0</v>
      </c>
      <c r="X164" s="5">
        <f>IF(V164&lt;$X$2,T164, +payroll!F164 * $X$2)</f>
        <v>0</v>
      </c>
      <c r="Z164" s="5">
        <f t="shared" si="30"/>
        <v>0</v>
      </c>
      <c r="AB164" t="e">
        <f t="shared" si="31"/>
        <v>#DIV/0!</v>
      </c>
    </row>
    <row r="165" spans="1:28" outlineLevel="1">
      <c r="A165" t="s">
        <v>257</v>
      </c>
      <c r="B165" t="s">
        <v>258</v>
      </c>
      <c r="D165" s="42">
        <v>0</v>
      </c>
      <c r="E165" s="42">
        <v>0</v>
      </c>
      <c r="F165" s="42">
        <v>0</v>
      </c>
      <c r="G165">
        <f t="shared" ref="G165:G227" si="35">SUM(D165:F165)</f>
        <v>0</v>
      </c>
      <c r="I165" s="22">
        <f t="shared" si="27"/>
        <v>0</v>
      </c>
      <c r="J165" s="6">
        <f>+IFR!AD165</f>
        <v>0</v>
      </c>
      <c r="K165" s="14">
        <f t="shared" si="32"/>
        <v>0.95</v>
      </c>
      <c r="L165" s="22">
        <f t="shared" si="28"/>
        <v>0</v>
      </c>
      <c r="M165" s="14">
        <v>1</v>
      </c>
      <c r="N165" s="14">
        <v>1</v>
      </c>
      <c r="P165" s="22">
        <f t="shared" ref="P165:P227" si="36">+L165*M165*N165</f>
        <v>0</v>
      </c>
      <c r="R165" s="3">
        <f t="shared" si="34"/>
        <v>0</v>
      </c>
      <c r="T165" s="5">
        <f>+R165*(assessment!$J$272*assessment!$E$3)</f>
        <v>0</v>
      </c>
      <c r="V165" s="6">
        <f>+T165/payroll!F165</f>
        <v>0</v>
      </c>
      <c r="X165" s="5">
        <f>IF(V165&lt;$X$2,T165, +payroll!F165 * $X$2)</f>
        <v>0</v>
      </c>
      <c r="Z165" s="5">
        <f t="shared" ref="Z165:Z227" si="37">+T165-X165</f>
        <v>0</v>
      </c>
      <c r="AB165" t="e">
        <f t="shared" ref="AB165:AB227" si="38">+X165/T165</f>
        <v>#DIV/0!</v>
      </c>
    </row>
    <row r="166" spans="1:28" outlineLevel="1">
      <c r="A166" t="s">
        <v>259</v>
      </c>
      <c r="B166" t="s">
        <v>260</v>
      </c>
      <c r="D166" s="42">
        <v>0</v>
      </c>
      <c r="E166" s="42">
        <v>1</v>
      </c>
      <c r="F166" s="42">
        <v>1</v>
      </c>
      <c r="G166">
        <f t="shared" si="35"/>
        <v>2</v>
      </c>
      <c r="I166" s="22">
        <f t="shared" ref="I166:I228" si="39">AVERAGE(D166:F166)</f>
        <v>0.66666666666666663</v>
      </c>
      <c r="J166" s="6">
        <f>+IFR!AD166</f>
        <v>8.3333333333333332E-3</v>
      </c>
      <c r="K166" s="14">
        <f t="shared" si="32"/>
        <v>0.95</v>
      </c>
      <c r="L166" s="22">
        <f t="shared" ref="L166:L228" si="40">+I166*K166</f>
        <v>0.6333333333333333</v>
      </c>
      <c r="M166" s="14">
        <v>1</v>
      </c>
      <c r="N166" s="14">
        <v>1</v>
      </c>
      <c r="P166" s="22">
        <f t="shared" si="36"/>
        <v>0.6333333333333333</v>
      </c>
      <c r="R166" s="3">
        <f t="shared" si="34"/>
        <v>9.8968900325295198E-5</v>
      </c>
      <c r="T166" s="5">
        <f>+R166*(assessment!$J$272*assessment!$E$3)</f>
        <v>765.71587228584326</v>
      </c>
      <c r="V166" s="6">
        <f>+T166/payroll!F166</f>
        <v>3.8050147844830712E-4</v>
      </c>
      <c r="X166" s="5">
        <f>IF(V166&lt;$X$2,T166, +payroll!F166 * $X$2)</f>
        <v>765.71587228584326</v>
      </c>
      <c r="Z166" s="5">
        <f t="shared" si="37"/>
        <v>0</v>
      </c>
      <c r="AB166">
        <f t="shared" si="38"/>
        <v>1</v>
      </c>
    </row>
    <row r="167" spans="1:28" outlineLevel="1">
      <c r="A167" t="s">
        <v>261</v>
      </c>
      <c r="B167" t="s">
        <v>262</v>
      </c>
      <c r="D167" s="42">
        <v>0</v>
      </c>
      <c r="E167" s="42">
        <v>0</v>
      </c>
      <c r="F167" s="42">
        <v>0</v>
      </c>
      <c r="G167">
        <f t="shared" si="35"/>
        <v>0</v>
      </c>
      <c r="I167" s="22">
        <f t="shared" si="39"/>
        <v>0</v>
      </c>
      <c r="J167" s="6">
        <f>+IFR!AD167</f>
        <v>0</v>
      </c>
      <c r="K167" s="14">
        <f t="shared" si="32"/>
        <v>0.95</v>
      </c>
      <c r="L167" s="22">
        <f t="shared" si="40"/>
        <v>0</v>
      </c>
      <c r="M167" s="14">
        <v>1</v>
      </c>
      <c r="N167" s="14">
        <v>1</v>
      </c>
      <c r="P167" s="22">
        <f t="shared" si="36"/>
        <v>0</v>
      </c>
      <c r="R167" s="3">
        <f t="shared" si="34"/>
        <v>0</v>
      </c>
      <c r="T167" s="5">
        <f>+R167*(assessment!$J$272*assessment!$E$3)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37"/>
        <v>0</v>
      </c>
      <c r="AB167" t="e">
        <f t="shared" si="38"/>
        <v>#DIV/0!</v>
      </c>
    </row>
    <row r="168" spans="1:28" outlineLevel="1">
      <c r="A168" t="s">
        <v>263</v>
      </c>
      <c r="B168" t="s">
        <v>264</v>
      </c>
      <c r="D168" s="42">
        <v>0</v>
      </c>
      <c r="E168" s="42">
        <v>0</v>
      </c>
      <c r="F168" s="42">
        <v>0</v>
      </c>
      <c r="G168">
        <f t="shared" si="35"/>
        <v>0</v>
      </c>
      <c r="I168" s="22">
        <f t="shared" si="39"/>
        <v>0</v>
      </c>
      <c r="J168" s="6">
        <f>+IFR!AD168</f>
        <v>0</v>
      </c>
      <c r="K168" s="14">
        <f t="shared" si="32"/>
        <v>0.95</v>
      </c>
      <c r="L168" s="22">
        <f t="shared" si="40"/>
        <v>0</v>
      </c>
      <c r="M168" s="14">
        <v>1</v>
      </c>
      <c r="N168" s="14">
        <v>1</v>
      </c>
      <c r="P168" s="22">
        <f t="shared" si="36"/>
        <v>0</v>
      </c>
      <c r="R168" s="3">
        <f t="shared" si="34"/>
        <v>0</v>
      </c>
      <c r="T168" s="5">
        <f>+R168*(assessment!$J$272*assessment!$E$3)</f>
        <v>0</v>
      </c>
      <c r="V168" s="6">
        <f>+T168/payroll!F168</f>
        <v>0</v>
      </c>
      <c r="X168" s="5">
        <f>IF(V168&lt;$X$2,T168, +payroll!F168 * $X$2)</f>
        <v>0</v>
      </c>
      <c r="Z168" s="5">
        <f t="shared" si="37"/>
        <v>0</v>
      </c>
      <c r="AB168" t="e">
        <f t="shared" si="38"/>
        <v>#DIV/0!</v>
      </c>
    </row>
    <row r="169" spans="1:28" outlineLevel="1">
      <c r="A169" t="s">
        <v>265</v>
      </c>
      <c r="B169" t="s">
        <v>266</v>
      </c>
      <c r="D169" s="42">
        <v>0</v>
      </c>
      <c r="E169" s="42">
        <v>0</v>
      </c>
      <c r="F169" s="42">
        <v>0</v>
      </c>
      <c r="G169">
        <f t="shared" si="35"/>
        <v>0</v>
      </c>
      <c r="I169" s="22">
        <f t="shared" si="39"/>
        <v>0</v>
      </c>
      <c r="J169" s="6">
        <f>+IFR!AD169</f>
        <v>0</v>
      </c>
      <c r="K169" s="14">
        <f t="shared" si="32"/>
        <v>0.95</v>
      </c>
      <c r="L169" s="22">
        <f t="shared" si="40"/>
        <v>0</v>
      </c>
      <c r="M169" s="14">
        <v>1</v>
      </c>
      <c r="N169" s="14">
        <v>1</v>
      </c>
      <c r="P169" s="22">
        <f t="shared" si="36"/>
        <v>0</v>
      </c>
      <c r="R169" s="3">
        <f t="shared" si="34"/>
        <v>0</v>
      </c>
      <c r="T169" s="5">
        <f>+R169*(assessment!$J$272*assessment!$E$3)</f>
        <v>0</v>
      </c>
      <c r="V169" s="6">
        <f>+T169/payroll!F169</f>
        <v>0</v>
      </c>
      <c r="X169" s="5">
        <f>IF(V169&lt;$X$2,T169, +payroll!F169 * $X$2)</f>
        <v>0</v>
      </c>
      <c r="Z169" s="5">
        <f t="shared" si="37"/>
        <v>0</v>
      </c>
      <c r="AB169" t="e">
        <f t="shared" si="38"/>
        <v>#DIV/0!</v>
      </c>
    </row>
    <row r="170" spans="1:28" outlineLevel="1">
      <c r="A170" t="s">
        <v>267</v>
      </c>
      <c r="B170" t="s">
        <v>268</v>
      </c>
      <c r="D170" s="42">
        <v>29</v>
      </c>
      <c r="E170" s="42">
        <v>6</v>
      </c>
      <c r="F170" s="42">
        <v>13</v>
      </c>
      <c r="G170">
        <f t="shared" si="35"/>
        <v>48</v>
      </c>
      <c r="I170" s="22">
        <f t="shared" si="39"/>
        <v>16</v>
      </c>
      <c r="J170" s="6">
        <f>+IFR!AD170</f>
        <v>6.5434401053093463E-2</v>
      </c>
      <c r="K170" s="14">
        <f t="shared" si="32"/>
        <v>1</v>
      </c>
      <c r="L170" s="22">
        <f t="shared" si="40"/>
        <v>16</v>
      </c>
      <c r="M170" s="14">
        <v>1</v>
      </c>
      <c r="N170" s="14">
        <v>1</v>
      </c>
      <c r="P170" s="22">
        <f t="shared" si="36"/>
        <v>16</v>
      </c>
      <c r="R170" s="3">
        <f t="shared" si="34"/>
        <v>2.5002669555864053E-3</v>
      </c>
      <c r="T170" s="5">
        <f>+R170*(assessment!$J$272*assessment!$E$3)</f>
        <v>19344.40098406341</v>
      </c>
      <c r="V170" s="6">
        <f>+T170/payroll!F170</f>
        <v>4.5149466220124716E-3</v>
      </c>
      <c r="X170" s="5">
        <f>IF(V170&lt;$X$2,T170, +payroll!F170 * $X$2)</f>
        <v>19344.40098406341</v>
      </c>
      <c r="Z170" s="5">
        <f t="shared" si="37"/>
        <v>0</v>
      </c>
      <c r="AB170">
        <f t="shared" si="38"/>
        <v>1</v>
      </c>
    </row>
    <row r="171" spans="1:28" outlineLevel="1">
      <c r="A171" t="s">
        <v>269</v>
      </c>
      <c r="B171" t="s">
        <v>270</v>
      </c>
      <c r="D171" s="42">
        <v>0</v>
      </c>
      <c r="E171" s="42">
        <v>0</v>
      </c>
      <c r="F171" s="42">
        <v>0</v>
      </c>
      <c r="G171">
        <f t="shared" si="35"/>
        <v>0</v>
      </c>
      <c r="I171" s="22">
        <f t="shared" si="39"/>
        <v>0</v>
      </c>
      <c r="J171" s="6">
        <f>+IFR!AD171</f>
        <v>0</v>
      </c>
      <c r="K171" s="14">
        <f t="shared" si="32"/>
        <v>0.95</v>
      </c>
      <c r="L171" s="22">
        <f t="shared" si="40"/>
        <v>0</v>
      </c>
      <c r="M171" s="14">
        <v>1</v>
      </c>
      <c r="N171" s="14">
        <v>1</v>
      </c>
      <c r="P171" s="22">
        <f t="shared" si="36"/>
        <v>0</v>
      </c>
      <c r="R171" s="3">
        <f t="shared" si="34"/>
        <v>0</v>
      </c>
      <c r="T171" s="5">
        <f>+R171*(assessment!$J$272*assessment!$E$3)</f>
        <v>0</v>
      </c>
      <c r="V171" s="6">
        <f>+T171/payroll!F171</f>
        <v>0</v>
      </c>
      <c r="X171" s="5">
        <f>IF(V171&lt;$X$2,T171, +payroll!F171 * $X$2)</f>
        <v>0</v>
      </c>
      <c r="Z171" s="5">
        <f t="shared" si="37"/>
        <v>0</v>
      </c>
      <c r="AB171" t="e">
        <f t="shared" si="38"/>
        <v>#DIV/0!</v>
      </c>
    </row>
    <row r="172" spans="1:28" outlineLevel="1">
      <c r="A172" t="s">
        <v>271</v>
      </c>
      <c r="B172" t="s">
        <v>272</v>
      </c>
      <c r="D172" s="42">
        <v>0</v>
      </c>
      <c r="E172" s="42">
        <v>0</v>
      </c>
      <c r="F172" s="42">
        <v>0</v>
      </c>
      <c r="G172">
        <f t="shared" si="35"/>
        <v>0</v>
      </c>
      <c r="I172" s="22">
        <f t="shared" si="39"/>
        <v>0</v>
      </c>
      <c r="J172" s="6">
        <f>+IFR!AD172</f>
        <v>0</v>
      </c>
      <c r="K172" s="14">
        <f t="shared" si="32"/>
        <v>0.95</v>
      </c>
      <c r="L172" s="22">
        <f t="shared" si="40"/>
        <v>0</v>
      </c>
      <c r="M172" s="14">
        <v>1</v>
      </c>
      <c r="N172" s="14">
        <v>1</v>
      </c>
      <c r="P172" s="22">
        <f t="shared" si="36"/>
        <v>0</v>
      </c>
      <c r="R172" s="3">
        <f t="shared" si="34"/>
        <v>0</v>
      </c>
      <c r="T172" s="5">
        <f>+R172*(assessment!$J$272*assessment!$E$3)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37"/>
        <v>0</v>
      </c>
      <c r="AB172" t="e">
        <f t="shared" si="38"/>
        <v>#DIV/0!</v>
      </c>
    </row>
    <row r="173" spans="1:28" outlineLevel="1">
      <c r="A173" t="s">
        <v>273</v>
      </c>
      <c r="B173" t="s">
        <v>274</v>
      </c>
      <c r="D173" s="42">
        <v>0</v>
      </c>
      <c r="E173" s="42">
        <v>0</v>
      </c>
      <c r="F173" s="42">
        <v>0</v>
      </c>
      <c r="G173">
        <f t="shared" si="35"/>
        <v>0</v>
      </c>
      <c r="I173" s="22">
        <f t="shared" si="39"/>
        <v>0</v>
      </c>
      <c r="J173" s="6">
        <f>+IFR!AD173</f>
        <v>0</v>
      </c>
      <c r="K173" s="14">
        <f t="shared" si="32"/>
        <v>0.95</v>
      </c>
      <c r="L173" s="22">
        <f t="shared" si="40"/>
        <v>0</v>
      </c>
      <c r="M173" s="14">
        <v>1</v>
      </c>
      <c r="N173" s="14">
        <v>1</v>
      </c>
      <c r="P173" s="22">
        <f t="shared" si="36"/>
        <v>0</v>
      </c>
      <c r="R173" s="3">
        <f t="shared" si="34"/>
        <v>0</v>
      </c>
      <c r="T173" s="5">
        <f>+R173*(assessment!$J$272*assessment!$E$3)</f>
        <v>0</v>
      </c>
      <c r="V173" s="6">
        <f>+T173/payroll!F173</f>
        <v>0</v>
      </c>
      <c r="X173" s="5">
        <f>IF(V173&lt;$X$2,T173, +payroll!F173 * $X$2)</f>
        <v>0</v>
      </c>
      <c r="Z173" s="5">
        <f t="shared" si="37"/>
        <v>0</v>
      </c>
      <c r="AB173" t="e">
        <f t="shared" si="38"/>
        <v>#DIV/0!</v>
      </c>
    </row>
    <row r="174" spans="1:28" outlineLevel="1">
      <c r="A174" t="s">
        <v>275</v>
      </c>
      <c r="B174" t="s">
        <v>276</v>
      </c>
      <c r="D174" s="42">
        <v>0</v>
      </c>
      <c r="E174" s="42">
        <v>0</v>
      </c>
      <c r="F174" s="42">
        <v>0</v>
      </c>
      <c r="G174">
        <f t="shared" si="35"/>
        <v>0</v>
      </c>
      <c r="I174" s="22">
        <f t="shared" si="39"/>
        <v>0</v>
      </c>
      <c r="J174" s="6">
        <f>+IFR!AD174</f>
        <v>0</v>
      </c>
      <c r="K174" s="14">
        <f t="shared" si="32"/>
        <v>0.95</v>
      </c>
      <c r="L174" s="22">
        <f t="shared" si="40"/>
        <v>0</v>
      </c>
      <c r="M174" s="14">
        <v>1</v>
      </c>
      <c r="N174" s="14">
        <v>1</v>
      </c>
      <c r="P174" s="22">
        <f t="shared" si="36"/>
        <v>0</v>
      </c>
      <c r="R174" s="3">
        <f t="shared" si="34"/>
        <v>0</v>
      </c>
      <c r="T174" s="5">
        <f>+R174*(assessment!$J$272*assessment!$E$3)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37"/>
        <v>0</v>
      </c>
      <c r="AB174" t="e">
        <f t="shared" si="38"/>
        <v>#DIV/0!</v>
      </c>
    </row>
    <row r="175" spans="1:28" outlineLevel="1">
      <c r="A175" t="s">
        <v>277</v>
      </c>
      <c r="B175" t="s">
        <v>278</v>
      </c>
      <c r="D175" s="42">
        <v>0</v>
      </c>
      <c r="E175" s="42">
        <v>0</v>
      </c>
      <c r="F175" s="42">
        <v>0</v>
      </c>
      <c r="G175">
        <f t="shared" si="35"/>
        <v>0</v>
      </c>
      <c r="I175" s="22">
        <f t="shared" si="39"/>
        <v>0</v>
      </c>
      <c r="J175" s="6">
        <f>+IFR!AD175</f>
        <v>0</v>
      </c>
      <c r="K175" s="14">
        <f t="shared" si="32"/>
        <v>0.95</v>
      </c>
      <c r="L175" s="22">
        <f t="shared" si="40"/>
        <v>0</v>
      </c>
      <c r="M175" s="14">
        <v>1</v>
      </c>
      <c r="N175" s="14">
        <v>1</v>
      </c>
      <c r="P175" s="22">
        <f t="shared" si="36"/>
        <v>0</v>
      </c>
      <c r="R175" s="3">
        <f t="shared" si="34"/>
        <v>0</v>
      </c>
      <c r="T175" s="5">
        <f>+R175*(assessment!$J$272*assessment!$E$3)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37"/>
        <v>0</v>
      </c>
      <c r="AB175" t="e">
        <f t="shared" si="38"/>
        <v>#DIV/0!</v>
      </c>
    </row>
    <row r="176" spans="1:28" outlineLevel="1">
      <c r="A176" t="s">
        <v>279</v>
      </c>
      <c r="B176" t="s">
        <v>280</v>
      </c>
      <c r="D176" s="42">
        <v>0</v>
      </c>
      <c r="E176" s="42">
        <v>0</v>
      </c>
      <c r="F176" s="42">
        <v>1</v>
      </c>
      <c r="G176">
        <f t="shared" si="35"/>
        <v>1</v>
      </c>
      <c r="I176" s="22">
        <f t="shared" si="39"/>
        <v>0.33333333333333331</v>
      </c>
      <c r="J176" s="6">
        <f>+IFR!AD176</f>
        <v>5.0000000000000001E-3</v>
      </c>
      <c r="K176" s="14">
        <f t="shared" si="32"/>
        <v>0.95</v>
      </c>
      <c r="L176" s="22">
        <f t="shared" si="40"/>
        <v>0.31666666666666665</v>
      </c>
      <c r="M176" s="14">
        <v>1</v>
      </c>
      <c r="N176" s="14">
        <v>1</v>
      </c>
      <c r="P176" s="22">
        <f t="shared" si="36"/>
        <v>0.31666666666666665</v>
      </c>
      <c r="R176" s="3">
        <f t="shared" si="34"/>
        <v>4.9484450162647599E-5</v>
      </c>
      <c r="T176" s="5">
        <f>+R176*(assessment!$J$272*assessment!$E$3)</f>
        <v>382.85793614292163</v>
      </c>
      <c r="V176" s="6">
        <f>+T176/payroll!F176</f>
        <v>1.2890810174249744E-4</v>
      </c>
      <c r="X176" s="5">
        <f>IF(V176&lt;$X$2,T176, +payroll!F176 * $X$2)</f>
        <v>382.85793614292163</v>
      </c>
      <c r="Z176" s="5">
        <f t="shared" si="37"/>
        <v>0</v>
      </c>
      <c r="AB176">
        <f t="shared" si="38"/>
        <v>1</v>
      </c>
    </row>
    <row r="177" spans="1:28" outlineLevel="1">
      <c r="A177" t="s">
        <v>281</v>
      </c>
      <c r="B177" t="s">
        <v>282</v>
      </c>
      <c r="D177" s="42">
        <v>0</v>
      </c>
      <c r="E177" s="42">
        <v>0</v>
      </c>
      <c r="F177" s="42">
        <v>0</v>
      </c>
      <c r="G177">
        <f t="shared" si="35"/>
        <v>0</v>
      </c>
      <c r="I177" s="22">
        <f t="shared" si="39"/>
        <v>0</v>
      </c>
      <c r="J177" s="6">
        <f>+IFR!AD177</f>
        <v>0</v>
      </c>
      <c r="K177" s="14">
        <f t="shared" si="32"/>
        <v>0.95</v>
      </c>
      <c r="L177" s="22">
        <f t="shared" si="40"/>
        <v>0</v>
      </c>
      <c r="M177" s="14">
        <v>1</v>
      </c>
      <c r="N177" s="14">
        <v>1</v>
      </c>
      <c r="P177" s="22">
        <f t="shared" si="36"/>
        <v>0</v>
      </c>
      <c r="R177" s="3">
        <f t="shared" si="34"/>
        <v>0</v>
      </c>
      <c r="T177" s="5">
        <f>+R177*(assessment!$J$272*assessment!$E$3)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37"/>
        <v>0</v>
      </c>
      <c r="AB177" t="e">
        <f t="shared" si="38"/>
        <v>#DIV/0!</v>
      </c>
    </row>
    <row r="178" spans="1:28" outlineLevel="1">
      <c r="A178" t="s">
        <v>283</v>
      </c>
      <c r="B178" t="s">
        <v>284</v>
      </c>
      <c r="D178" s="42">
        <v>0</v>
      </c>
      <c r="E178" s="42">
        <v>0</v>
      </c>
      <c r="F178" s="42">
        <v>0</v>
      </c>
      <c r="G178">
        <f t="shared" si="35"/>
        <v>0</v>
      </c>
      <c r="I178" s="22">
        <f t="shared" si="39"/>
        <v>0</v>
      </c>
      <c r="J178" s="6">
        <f>+IFR!AD178</f>
        <v>0</v>
      </c>
      <c r="K178" s="14">
        <f t="shared" si="32"/>
        <v>0.95</v>
      </c>
      <c r="L178" s="22">
        <f t="shared" si="40"/>
        <v>0</v>
      </c>
      <c r="M178" s="14">
        <v>1</v>
      </c>
      <c r="N178" s="14">
        <v>1</v>
      </c>
      <c r="P178" s="22">
        <f t="shared" si="36"/>
        <v>0</v>
      </c>
      <c r="R178" s="3">
        <f t="shared" si="34"/>
        <v>0</v>
      </c>
      <c r="T178" s="5">
        <f>+R178*(assessment!$J$272*assessment!$E$3)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37"/>
        <v>0</v>
      </c>
      <c r="AB178" t="e">
        <f t="shared" si="38"/>
        <v>#DIV/0!</v>
      </c>
    </row>
    <row r="179" spans="1:28" outlineLevel="1">
      <c r="A179" t="s">
        <v>285</v>
      </c>
      <c r="B179" t="s">
        <v>286</v>
      </c>
      <c r="D179" s="42">
        <v>0</v>
      </c>
      <c r="E179" s="42">
        <v>0</v>
      </c>
      <c r="F179" s="42">
        <v>0</v>
      </c>
      <c r="G179">
        <f t="shared" si="35"/>
        <v>0</v>
      </c>
      <c r="I179" s="22">
        <f t="shared" si="39"/>
        <v>0</v>
      </c>
      <c r="J179" s="6">
        <f>+IFR!AD179</f>
        <v>0</v>
      </c>
      <c r="K179" s="14">
        <f t="shared" si="32"/>
        <v>0.95</v>
      </c>
      <c r="L179" s="22">
        <f t="shared" si="40"/>
        <v>0</v>
      </c>
      <c r="M179" s="14">
        <v>1</v>
      </c>
      <c r="N179" s="14">
        <v>1</v>
      </c>
      <c r="P179" s="22">
        <f t="shared" si="36"/>
        <v>0</v>
      </c>
      <c r="R179" s="3">
        <f t="shared" si="34"/>
        <v>0</v>
      </c>
      <c r="T179" s="5">
        <f>+R179*(assessment!$J$272*assessment!$E$3)</f>
        <v>0</v>
      </c>
      <c r="V179" s="6">
        <f>+T179/payroll!F179</f>
        <v>0</v>
      </c>
      <c r="X179" s="5">
        <f>IF(V179&lt;$X$2,T179, +payroll!F179 * $X$2)</f>
        <v>0</v>
      </c>
      <c r="Z179" s="5">
        <f t="shared" si="37"/>
        <v>0</v>
      </c>
      <c r="AB179" t="e">
        <f t="shared" si="38"/>
        <v>#DIV/0!</v>
      </c>
    </row>
    <row r="180" spans="1:28" outlineLevel="1">
      <c r="A180" t="s">
        <v>287</v>
      </c>
      <c r="B180" t="s">
        <v>288</v>
      </c>
      <c r="D180" s="42">
        <v>1</v>
      </c>
      <c r="E180" s="42">
        <v>0</v>
      </c>
      <c r="F180" s="42">
        <v>1</v>
      </c>
      <c r="G180">
        <f t="shared" si="35"/>
        <v>2</v>
      </c>
      <c r="I180" s="22">
        <f t="shared" si="39"/>
        <v>0.66666666666666663</v>
      </c>
      <c r="J180" s="6">
        <f>+IFR!AD180</f>
        <v>6.6666666666666671E-3</v>
      </c>
      <c r="K180" s="14">
        <f t="shared" si="32"/>
        <v>0.95</v>
      </c>
      <c r="L180" s="22">
        <f t="shared" si="40"/>
        <v>0.6333333333333333</v>
      </c>
      <c r="M180" s="14">
        <v>1</v>
      </c>
      <c r="N180" s="14">
        <v>1</v>
      </c>
      <c r="P180" s="22">
        <f t="shared" si="36"/>
        <v>0.6333333333333333</v>
      </c>
      <c r="R180" s="3">
        <f t="shared" si="34"/>
        <v>9.8968900325295198E-5</v>
      </c>
      <c r="T180" s="5">
        <f>+R180*(assessment!$J$272*assessment!$E$3)</f>
        <v>765.71587228584326</v>
      </c>
      <c r="V180" s="6">
        <f>+T180/payroll!F180</f>
        <v>6.3022322329077396E-4</v>
      </c>
      <c r="X180" s="5">
        <f>IF(V180&lt;$X$2,T180, +payroll!F180 * $X$2)</f>
        <v>765.71587228584326</v>
      </c>
      <c r="Z180" s="5">
        <f t="shared" si="37"/>
        <v>0</v>
      </c>
      <c r="AB180">
        <f t="shared" si="38"/>
        <v>1</v>
      </c>
    </row>
    <row r="181" spans="1:28" outlineLevel="1">
      <c r="A181" t="s">
        <v>289</v>
      </c>
      <c r="B181" t="s">
        <v>290</v>
      </c>
      <c r="D181" s="42">
        <v>0</v>
      </c>
      <c r="E181" s="42">
        <v>0</v>
      </c>
      <c r="F181" s="42">
        <v>0</v>
      </c>
      <c r="G181">
        <f t="shared" si="35"/>
        <v>0</v>
      </c>
      <c r="I181" s="22">
        <f t="shared" si="39"/>
        <v>0</v>
      </c>
      <c r="J181" s="6">
        <f>+IFR!AD181</f>
        <v>0</v>
      </c>
      <c r="K181" s="14">
        <f t="shared" si="32"/>
        <v>0.95</v>
      </c>
      <c r="L181" s="22">
        <f t="shared" si="40"/>
        <v>0</v>
      </c>
      <c r="M181" s="14">
        <v>1</v>
      </c>
      <c r="N181" s="14">
        <v>1</v>
      </c>
      <c r="P181" s="22">
        <f t="shared" si="36"/>
        <v>0</v>
      </c>
      <c r="R181" s="3">
        <f t="shared" si="34"/>
        <v>0</v>
      </c>
      <c r="T181" s="5">
        <f>+R181*(assessment!$J$272*assessment!$E$3)</f>
        <v>0</v>
      </c>
      <c r="V181" s="6">
        <f>+T181/payroll!F181</f>
        <v>0</v>
      </c>
      <c r="X181" s="5">
        <f>IF(V181&lt;$X$2,T181, +payroll!F181 * $X$2)</f>
        <v>0</v>
      </c>
      <c r="Z181" s="5">
        <f t="shared" si="37"/>
        <v>0</v>
      </c>
      <c r="AB181" t="e">
        <f t="shared" si="38"/>
        <v>#DIV/0!</v>
      </c>
    </row>
    <row r="182" spans="1:28" outlineLevel="1">
      <c r="A182" t="s">
        <v>291</v>
      </c>
      <c r="B182" t="s">
        <v>292</v>
      </c>
      <c r="D182" s="42">
        <v>0</v>
      </c>
      <c r="E182" s="42">
        <v>0</v>
      </c>
      <c r="F182" s="42">
        <v>0</v>
      </c>
      <c r="G182">
        <f t="shared" si="35"/>
        <v>0</v>
      </c>
      <c r="I182" s="22">
        <f t="shared" si="39"/>
        <v>0</v>
      </c>
      <c r="J182" s="6">
        <f>+IFR!AD182</f>
        <v>0</v>
      </c>
      <c r="K182" s="14">
        <f t="shared" si="32"/>
        <v>0.95</v>
      </c>
      <c r="L182" s="22">
        <f t="shared" si="40"/>
        <v>0</v>
      </c>
      <c r="M182" s="14">
        <v>1</v>
      </c>
      <c r="N182" s="14">
        <v>1</v>
      </c>
      <c r="P182" s="22">
        <f t="shared" si="36"/>
        <v>0</v>
      </c>
      <c r="R182" s="3">
        <f t="shared" si="34"/>
        <v>0</v>
      </c>
      <c r="T182" s="5">
        <f>+R182*(assessment!$J$272*assessment!$E$3)</f>
        <v>0</v>
      </c>
      <c r="V182" s="6">
        <f>+T182/payroll!F182</f>
        <v>0</v>
      </c>
      <c r="X182" s="5">
        <f>IF(V182&lt;$X$2,T182, +payroll!F182 * $X$2)</f>
        <v>0</v>
      </c>
      <c r="Z182" s="5">
        <f t="shared" si="37"/>
        <v>0</v>
      </c>
      <c r="AB182" t="e">
        <f t="shared" si="38"/>
        <v>#DIV/0!</v>
      </c>
    </row>
    <row r="183" spans="1:28" outlineLevel="1">
      <c r="A183" t="s">
        <v>293</v>
      </c>
      <c r="B183" t="s">
        <v>294</v>
      </c>
      <c r="D183" s="42">
        <v>0</v>
      </c>
      <c r="E183" s="42">
        <v>0</v>
      </c>
      <c r="F183" s="42">
        <v>0</v>
      </c>
      <c r="G183">
        <f t="shared" si="35"/>
        <v>0</v>
      </c>
      <c r="I183" s="22">
        <f t="shared" si="39"/>
        <v>0</v>
      </c>
      <c r="J183" s="6">
        <f>+IFR!AD183</f>
        <v>0</v>
      </c>
      <c r="K183" s="14">
        <f t="shared" si="32"/>
        <v>0.95</v>
      </c>
      <c r="L183" s="22">
        <f t="shared" si="40"/>
        <v>0</v>
      </c>
      <c r="M183" s="14">
        <v>1</v>
      </c>
      <c r="N183" s="14">
        <v>1</v>
      </c>
      <c r="P183" s="22">
        <f t="shared" si="36"/>
        <v>0</v>
      </c>
      <c r="R183" s="3">
        <f t="shared" si="34"/>
        <v>0</v>
      </c>
      <c r="T183" s="5">
        <f>+R183*(assessment!$J$272*assessment!$E$3)</f>
        <v>0</v>
      </c>
      <c r="V183" s="6">
        <f>+T183/payroll!F183</f>
        <v>0</v>
      </c>
      <c r="X183" s="5">
        <f>IF(V183&lt;$X$2,T183, +payroll!F183 * $X$2)</f>
        <v>0</v>
      </c>
      <c r="Z183" s="5">
        <f t="shared" si="37"/>
        <v>0</v>
      </c>
      <c r="AB183" t="e">
        <f t="shared" si="38"/>
        <v>#DIV/0!</v>
      </c>
    </row>
    <row r="184" spans="1:28" outlineLevel="1">
      <c r="A184" t="s">
        <v>295</v>
      </c>
      <c r="B184" t="s">
        <v>296</v>
      </c>
      <c r="D184" s="42">
        <v>14</v>
      </c>
      <c r="E184" s="42">
        <v>10</v>
      </c>
      <c r="F184" s="42">
        <v>3</v>
      </c>
      <c r="G184">
        <f t="shared" si="35"/>
        <v>27</v>
      </c>
      <c r="I184" s="22">
        <f t="shared" si="39"/>
        <v>9</v>
      </c>
      <c r="J184" s="6">
        <f>+IFR!AD184</f>
        <v>9.4187599920548589E-3</v>
      </c>
      <c r="K184" s="14">
        <f t="shared" si="32"/>
        <v>0.95</v>
      </c>
      <c r="L184" s="22">
        <f t="shared" si="40"/>
        <v>8.5499999999999989</v>
      </c>
      <c r="M184" s="14">
        <v>1</v>
      </c>
      <c r="N184" s="14">
        <v>1</v>
      </c>
      <c r="P184" s="22">
        <f t="shared" si="36"/>
        <v>8.5499999999999989</v>
      </c>
      <c r="R184" s="3">
        <f t="shared" si="34"/>
        <v>1.3360801543914852E-3</v>
      </c>
      <c r="T184" s="5">
        <f>+R184*(assessment!$J$272*assessment!$E$3)</f>
        <v>10337.164275858884</v>
      </c>
      <c r="V184" s="6">
        <f>+T184/payroll!F184</f>
        <v>5.863732655873407E-4</v>
      </c>
      <c r="X184" s="5">
        <f>IF(V184&lt;$X$2,T184, +payroll!F184 * $X$2)</f>
        <v>10337.164275858884</v>
      </c>
      <c r="Z184" s="5">
        <f t="shared" si="37"/>
        <v>0</v>
      </c>
      <c r="AB184">
        <f t="shared" si="38"/>
        <v>1</v>
      </c>
    </row>
    <row r="185" spans="1:28" outlineLevel="1">
      <c r="A185" t="s">
        <v>297</v>
      </c>
      <c r="B185" t="s">
        <v>298</v>
      </c>
      <c r="D185" s="42">
        <v>0</v>
      </c>
      <c r="E185" s="42">
        <v>0</v>
      </c>
      <c r="F185" s="42">
        <v>0</v>
      </c>
      <c r="G185">
        <f t="shared" si="35"/>
        <v>0</v>
      </c>
      <c r="I185" s="22">
        <f t="shared" si="39"/>
        <v>0</v>
      </c>
      <c r="J185" s="6">
        <f>+IFR!AD185</f>
        <v>0</v>
      </c>
      <c r="K185" s="14">
        <f t="shared" si="32"/>
        <v>0.95</v>
      </c>
      <c r="L185" s="22">
        <f t="shared" si="40"/>
        <v>0</v>
      </c>
      <c r="M185" s="14">
        <v>1</v>
      </c>
      <c r="N185" s="14">
        <v>1</v>
      </c>
      <c r="P185" s="22">
        <f t="shared" si="36"/>
        <v>0</v>
      </c>
      <c r="R185" s="3">
        <f t="shared" si="34"/>
        <v>0</v>
      </c>
      <c r="T185" s="5">
        <f>+R185*(assessment!$J$272*assessment!$E$3)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37"/>
        <v>0</v>
      </c>
      <c r="AB185" t="e">
        <f t="shared" si="38"/>
        <v>#DIV/0!</v>
      </c>
    </row>
    <row r="186" spans="1:28" outlineLevel="1">
      <c r="A186" t="s">
        <v>299</v>
      </c>
      <c r="B186" t="s">
        <v>300</v>
      </c>
      <c r="D186" s="42">
        <v>0</v>
      </c>
      <c r="E186" s="42">
        <v>0</v>
      </c>
      <c r="F186" s="42">
        <v>0</v>
      </c>
      <c r="G186">
        <f t="shared" si="35"/>
        <v>0</v>
      </c>
      <c r="I186" s="22">
        <f t="shared" si="39"/>
        <v>0</v>
      </c>
      <c r="J186" s="6">
        <f>+IFR!AD186</f>
        <v>0</v>
      </c>
      <c r="K186" s="14">
        <f t="shared" si="32"/>
        <v>0.95</v>
      </c>
      <c r="L186" s="22">
        <f t="shared" si="40"/>
        <v>0</v>
      </c>
      <c r="M186" s="14">
        <v>1</v>
      </c>
      <c r="N186" s="14">
        <v>1</v>
      </c>
      <c r="P186" s="22">
        <f t="shared" si="36"/>
        <v>0</v>
      </c>
      <c r="R186" s="3">
        <f t="shared" si="34"/>
        <v>0</v>
      </c>
      <c r="T186" s="5">
        <f>+R186*(assessment!$J$272*assessment!$E$3)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37"/>
        <v>0</v>
      </c>
      <c r="AB186" t="e">
        <f t="shared" si="38"/>
        <v>#DIV/0!</v>
      </c>
    </row>
    <row r="187" spans="1:28" outlineLevel="1">
      <c r="A187" t="s">
        <v>301</v>
      </c>
      <c r="B187" t="s">
        <v>302</v>
      </c>
      <c r="D187" s="42">
        <v>0</v>
      </c>
      <c r="E187" s="42">
        <v>0</v>
      </c>
      <c r="F187" s="42">
        <v>0</v>
      </c>
      <c r="G187">
        <f t="shared" si="35"/>
        <v>0</v>
      </c>
      <c r="I187" s="22">
        <f t="shared" si="39"/>
        <v>0</v>
      </c>
      <c r="J187" s="6">
        <f>+IFR!AD187</f>
        <v>0</v>
      </c>
      <c r="K187" s="14">
        <f t="shared" si="32"/>
        <v>0.95</v>
      </c>
      <c r="L187" s="22">
        <f t="shared" si="40"/>
        <v>0</v>
      </c>
      <c r="M187" s="14">
        <v>1</v>
      </c>
      <c r="N187" s="14">
        <v>1</v>
      </c>
      <c r="P187" s="22">
        <f t="shared" si="36"/>
        <v>0</v>
      </c>
      <c r="R187" s="3">
        <f t="shared" si="34"/>
        <v>0</v>
      </c>
      <c r="T187" s="5">
        <f>+R187*(assessment!$J$272*assessment!$E$3)</f>
        <v>0</v>
      </c>
      <c r="V187" s="6">
        <f>+T187/payroll!F187</f>
        <v>0</v>
      </c>
      <c r="X187" s="5">
        <f>IF(V187&lt;$X$2,T187, +payroll!F187 * $X$2)</f>
        <v>0</v>
      </c>
      <c r="Z187" s="5">
        <f t="shared" si="37"/>
        <v>0</v>
      </c>
      <c r="AB187" t="e">
        <f t="shared" si="38"/>
        <v>#DIV/0!</v>
      </c>
    </row>
    <row r="188" spans="1:28" outlineLevel="1">
      <c r="A188" t="s">
        <v>303</v>
      </c>
      <c r="B188" t="s">
        <v>304</v>
      </c>
      <c r="D188" s="42">
        <v>1</v>
      </c>
      <c r="E188" s="42">
        <v>1</v>
      </c>
      <c r="F188" s="42">
        <v>4</v>
      </c>
      <c r="G188">
        <f t="shared" si="35"/>
        <v>6</v>
      </c>
      <c r="I188" s="22">
        <f t="shared" si="39"/>
        <v>2</v>
      </c>
      <c r="J188" s="6">
        <f>+IFR!AD188</f>
        <v>1.0660384276844325E-2</v>
      </c>
      <c r="K188" s="14">
        <f t="shared" si="32"/>
        <v>0.95</v>
      </c>
      <c r="L188" s="22">
        <f t="shared" si="40"/>
        <v>1.9</v>
      </c>
      <c r="M188" s="14">
        <v>1</v>
      </c>
      <c r="N188" s="14">
        <v>1</v>
      </c>
      <c r="P188" s="22">
        <f t="shared" si="36"/>
        <v>1.9</v>
      </c>
      <c r="R188" s="3">
        <f t="shared" si="34"/>
        <v>2.9690670097588562E-4</v>
      </c>
      <c r="T188" s="5">
        <f>+R188*(assessment!$J$272*assessment!$E$3)</f>
        <v>2297.14761685753</v>
      </c>
      <c r="V188" s="6">
        <f>+T188/payroll!F188</f>
        <v>4.6271388086609742E-4</v>
      </c>
      <c r="X188" s="5">
        <f>IF(V188&lt;$X$2,T188, +payroll!F188 * $X$2)</f>
        <v>2297.14761685753</v>
      </c>
      <c r="Z188" s="5">
        <f t="shared" si="37"/>
        <v>0</v>
      </c>
      <c r="AB188">
        <f t="shared" si="38"/>
        <v>1</v>
      </c>
    </row>
    <row r="189" spans="1:28" outlineLevel="1">
      <c r="A189" t="s">
        <v>305</v>
      </c>
      <c r="B189" t="s">
        <v>306</v>
      </c>
      <c r="D189" s="42">
        <v>0</v>
      </c>
      <c r="E189" s="42">
        <v>0</v>
      </c>
      <c r="F189" s="42">
        <v>0</v>
      </c>
      <c r="G189">
        <f t="shared" si="35"/>
        <v>0</v>
      </c>
      <c r="I189" s="22">
        <f t="shared" si="39"/>
        <v>0</v>
      </c>
      <c r="J189" s="6">
        <f>+IFR!AD189</f>
        <v>0</v>
      </c>
      <c r="K189" s="14">
        <f t="shared" si="32"/>
        <v>0.95</v>
      </c>
      <c r="L189" s="22">
        <f t="shared" si="40"/>
        <v>0</v>
      </c>
      <c r="M189" s="14">
        <v>1</v>
      </c>
      <c r="N189" s="14">
        <v>1</v>
      </c>
      <c r="P189" s="22">
        <f t="shared" si="36"/>
        <v>0</v>
      </c>
      <c r="R189" s="3">
        <f t="shared" si="34"/>
        <v>0</v>
      </c>
      <c r="T189" s="5">
        <f>+R189*(assessment!$J$272*assessment!$E$3)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37"/>
        <v>0</v>
      </c>
      <c r="AB189" t="e">
        <f t="shared" si="38"/>
        <v>#DIV/0!</v>
      </c>
    </row>
    <row r="190" spans="1:28" outlineLevel="1">
      <c r="A190" t="s">
        <v>307</v>
      </c>
      <c r="B190" t="s">
        <v>308</v>
      </c>
      <c r="D190" s="42">
        <v>0</v>
      </c>
      <c r="E190" s="42">
        <v>0</v>
      </c>
      <c r="F190" s="42">
        <v>0</v>
      </c>
      <c r="G190">
        <f t="shared" si="35"/>
        <v>0</v>
      </c>
      <c r="I190" s="22">
        <f t="shared" si="39"/>
        <v>0</v>
      </c>
      <c r="J190" s="6">
        <f>+IFR!AD190</f>
        <v>0</v>
      </c>
      <c r="K190" s="14">
        <f t="shared" si="32"/>
        <v>0.95</v>
      </c>
      <c r="L190" s="22">
        <f t="shared" si="40"/>
        <v>0</v>
      </c>
      <c r="M190" s="14">
        <v>1</v>
      </c>
      <c r="N190" s="14">
        <v>1</v>
      </c>
      <c r="P190" s="22">
        <f t="shared" si="36"/>
        <v>0</v>
      </c>
      <c r="R190" s="3">
        <f t="shared" si="34"/>
        <v>0</v>
      </c>
      <c r="T190" s="5">
        <f>+R190*(assessment!$J$272*assessment!$E$3)</f>
        <v>0</v>
      </c>
      <c r="V190" s="6">
        <f>+T190/payroll!F190</f>
        <v>0</v>
      </c>
      <c r="X190" s="5">
        <f>IF(V190&lt;$X$2,T190, +payroll!F190 * $X$2)</f>
        <v>0</v>
      </c>
      <c r="Z190" s="5">
        <f t="shared" si="37"/>
        <v>0</v>
      </c>
      <c r="AB190" t="e">
        <f t="shared" si="38"/>
        <v>#DIV/0!</v>
      </c>
    </row>
    <row r="191" spans="1:28" outlineLevel="1">
      <c r="A191" t="s">
        <v>309</v>
      </c>
      <c r="B191" t="s">
        <v>310</v>
      </c>
      <c r="D191" s="42">
        <v>0</v>
      </c>
      <c r="E191" s="42">
        <v>0</v>
      </c>
      <c r="F191" s="42">
        <v>0</v>
      </c>
      <c r="G191">
        <f t="shared" si="35"/>
        <v>0</v>
      </c>
      <c r="I191" s="22">
        <f t="shared" si="39"/>
        <v>0</v>
      </c>
      <c r="J191" s="6">
        <f>+IFR!AD191</f>
        <v>0</v>
      </c>
      <c r="K191" s="14">
        <f t="shared" si="32"/>
        <v>0.95</v>
      </c>
      <c r="L191" s="22">
        <f t="shared" si="40"/>
        <v>0</v>
      </c>
      <c r="M191" s="14">
        <v>1</v>
      </c>
      <c r="N191" s="14">
        <v>1</v>
      </c>
      <c r="P191" s="22">
        <f t="shared" si="36"/>
        <v>0</v>
      </c>
      <c r="R191" s="3">
        <f t="shared" si="34"/>
        <v>0</v>
      </c>
      <c r="T191" s="5">
        <f>+R191*(assessment!$J$272*assessment!$E$3)</f>
        <v>0</v>
      </c>
      <c r="V191" s="6">
        <f>+T191/payroll!F191</f>
        <v>0</v>
      </c>
      <c r="X191" s="5">
        <f>IF(V191&lt;$X$2,T191, +payroll!F191 * $X$2)</f>
        <v>0</v>
      </c>
      <c r="Z191" s="5">
        <f t="shared" si="37"/>
        <v>0</v>
      </c>
      <c r="AB191" t="e">
        <f t="shared" si="38"/>
        <v>#DIV/0!</v>
      </c>
    </row>
    <row r="192" spans="1:28" outlineLevel="1">
      <c r="A192" t="s">
        <v>311</v>
      </c>
      <c r="B192" t="s">
        <v>312</v>
      </c>
      <c r="D192" s="42">
        <v>0</v>
      </c>
      <c r="E192" s="42">
        <v>0</v>
      </c>
      <c r="F192" s="42">
        <v>0</v>
      </c>
      <c r="G192">
        <f t="shared" si="35"/>
        <v>0</v>
      </c>
      <c r="I192" s="22">
        <f t="shared" si="39"/>
        <v>0</v>
      </c>
      <c r="J192" s="6">
        <f>+IFR!AD192</f>
        <v>0</v>
      </c>
      <c r="K192" s="14">
        <f t="shared" si="32"/>
        <v>0.95</v>
      </c>
      <c r="L192" s="22">
        <f t="shared" si="40"/>
        <v>0</v>
      </c>
      <c r="M192" s="14">
        <v>1</v>
      </c>
      <c r="N192" s="14">
        <v>1</v>
      </c>
      <c r="P192" s="22">
        <f t="shared" si="36"/>
        <v>0</v>
      </c>
      <c r="R192" s="3">
        <f t="shared" si="34"/>
        <v>0</v>
      </c>
      <c r="T192" s="5">
        <f>+R192*(assessment!$J$272*assessment!$E$3)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37"/>
        <v>0</v>
      </c>
      <c r="AB192" t="e">
        <f t="shared" si="38"/>
        <v>#DIV/0!</v>
      </c>
    </row>
    <row r="193" spans="1:28" outlineLevel="1">
      <c r="A193" t="s">
        <v>313</v>
      </c>
      <c r="B193" t="s">
        <v>314</v>
      </c>
      <c r="D193" s="42">
        <v>0</v>
      </c>
      <c r="E193" s="42">
        <v>0</v>
      </c>
      <c r="F193" s="42">
        <v>0</v>
      </c>
      <c r="G193">
        <f t="shared" si="35"/>
        <v>0</v>
      </c>
      <c r="I193" s="22">
        <f t="shared" si="39"/>
        <v>0</v>
      </c>
      <c r="J193" s="6">
        <f>+IFR!AD193</f>
        <v>0</v>
      </c>
      <c r="K193" s="14">
        <f t="shared" si="32"/>
        <v>0.95</v>
      </c>
      <c r="L193" s="22">
        <f t="shared" si="40"/>
        <v>0</v>
      </c>
      <c r="M193" s="14">
        <v>1</v>
      </c>
      <c r="N193" s="14">
        <v>1</v>
      </c>
      <c r="P193" s="22">
        <f t="shared" si="36"/>
        <v>0</v>
      </c>
      <c r="R193" s="3">
        <f t="shared" si="34"/>
        <v>0</v>
      </c>
      <c r="T193" s="5">
        <f>+R193*(assessment!$J$272*assessment!$E$3)</f>
        <v>0</v>
      </c>
      <c r="V193" s="6">
        <f>+T193/payroll!F193</f>
        <v>0</v>
      </c>
      <c r="X193" s="5">
        <f>IF(V193&lt;$X$2,T193, +payroll!F193 * $X$2)</f>
        <v>0</v>
      </c>
      <c r="Z193" s="5">
        <f t="shared" si="37"/>
        <v>0</v>
      </c>
      <c r="AB193" t="e">
        <f t="shared" si="38"/>
        <v>#DIV/0!</v>
      </c>
    </row>
    <row r="194" spans="1:28" outlineLevel="1">
      <c r="A194" t="s">
        <v>315</v>
      </c>
      <c r="B194" t="s">
        <v>316</v>
      </c>
      <c r="D194" s="42">
        <v>0</v>
      </c>
      <c r="E194" s="42">
        <v>0</v>
      </c>
      <c r="F194" s="42">
        <v>0</v>
      </c>
      <c r="G194">
        <f t="shared" si="35"/>
        <v>0</v>
      </c>
      <c r="I194" s="22">
        <f t="shared" si="39"/>
        <v>0</v>
      </c>
      <c r="J194" s="6">
        <f>+IFR!AD194</f>
        <v>0</v>
      </c>
      <c r="K194" s="14">
        <f t="shared" ref="K194:K254" si="41">IF(+J194&lt;$E$267,$I$267,IF(J194&gt;$E$269,$I$269,$I$268))</f>
        <v>0.95</v>
      </c>
      <c r="L194" s="22">
        <f t="shared" si="40"/>
        <v>0</v>
      </c>
      <c r="M194" s="14">
        <v>1</v>
      </c>
      <c r="N194" s="14">
        <v>1</v>
      </c>
      <c r="P194" s="22">
        <f t="shared" si="36"/>
        <v>0</v>
      </c>
      <c r="R194" s="3">
        <f t="shared" si="34"/>
        <v>0</v>
      </c>
      <c r="T194" s="5">
        <f>+R194*(assessment!$J$272*assessment!$E$3)</f>
        <v>0</v>
      </c>
      <c r="V194" s="6">
        <f>+T194/payroll!F194</f>
        <v>0</v>
      </c>
      <c r="X194" s="5">
        <f>IF(V194&lt;$X$2,T194, +payroll!F194 * $X$2)</f>
        <v>0</v>
      </c>
      <c r="Z194" s="5">
        <f t="shared" si="37"/>
        <v>0</v>
      </c>
      <c r="AB194" t="e">
        <f t="shared" si="38"/>
        <v>#DIV/0!</v>
      </c>
    </row>
    <row r="195" spans="1:28" outlineLevel="1">
      <c r="A195" t="s">
        <v>317</v>
      </c>
      <c r="B195" t="s">
        <v>318</v>
      </c>
      <c r="D195" s="42">
        <v>0</v>
      </c>
      <c r="E195" s="42">
        <v>0</v>
      </c>
      <c r="F195" s="42">
        <v>0</v>
      </c>
      <c r="G195">
        <f t="shared" si="35"/>
        <v>0</v>
      </c>
      <c r="I195" s="22">
        <f t="shared" si="39"/>
        <v>0</v>
      </c>
      <c r="J195" s="6">
        <f>+IFR!AD195</f>
        <v>0</v>
      </c>
      <c r="K195" s="14">
        <f t="shared" si="41"/>
        <v>0.95</v>
      </c>
      <c r="L195" s="22">
        <f t="shared" si="40"/>
        <v>0</v>
      </c>
      <c r="M195" s="14">
        <v>1</v>
      </c>
      <c r="N195" s="14">
        <v>1</v>
      </c>
      <c r="P195" s="22">
        <f t="shared" si="36"/>
        <v>0</v>
      </c>
      <c r="R195" s="3">
        <f t="shared" si="34"/>
        <v>0</v>
      </c>
      <c r="T195" s="5">
        <f>+R195*(assessment!$J$272*assessment!$E$3)</f>
        <v>0</v>
      </c>
      <c r="V195" s="6">
        <f>+T195/payroll!F195</f>
        <v>0</v>
      </c>
      <c r="X195" s="5">
        <f>IF(V195&lt;$X$2,T195, +payroll!F195 * $X$2)</f>
        <v>0</v>
      </c>
      <c r="Z195" s="5">
        <f t="shared" si="37"/>
        <v>0</v>
      </c>
      <c r="AB195" t="e">
        <f t="shared" si="38"/>
        <v>#DIV/0!</v>
      </c>
    </row>
    <row r="196" spans="1:28" outlineLevel="1">
      <c r="A196" t="s">
        <v>319</v>
      </c>
      <c r="B196" t="s">
        <v>320</v>
      </c>
      <c r="D196" s="42">
        <v>0</v>
      </c>
      <c r="E196" s="42">
        <v>0</v>
      </c>
      <c r="F196" s="42">
        <v>0</v>
      </c>
      <c r="G196">
        <f t="shared" si="35"/>
        <v>0</v>
      </c>
      <c r="I196" s="22">
        <f t="shared" si="39"/>
        <v>0</v>
      </c>
      <c r="J196" s="6">
        <f>+IFR!AD196</f>
        <v>0</v>
      </c>
      <c r="K196" s="14">
        <f t="shared" si="41"/>
        <v>0.95</v>
      </c>
      <c r="L196" s="22">
        <f t="shared" si="40"/>
        <v>0</v>
      </c>
      <c r="M196" s="14">
        <v>1</v>
      </c>
      <c r="N196" s="14">
        <v>1</v>
      </c>
      <c r="P196" s="22">
        <f t="shared" si="36"/>
        <v>0</v>
      </c>
      <c r="R196" s="3">
        <f t="shared" ref="R196:R227" si="42">+P196/$P$264</f>
        <v>0</v>
      </c>
      <c r="T196" s="5">
        <f>+R196*(assessment!$J$272*assessment!$E$3)</f>
        <v>0</v>
      </c>
      <c r="V196" s="6">
        <f>+T196/payroll!F196</f>
        <v>0</v>
      </c>
      <c r="X196" s="5">
        <f>IF(V196&lt;$X$2,T196, +payroll!F196 * $X$2)</f>
        <v>0</v>
      </c>
      <c r="Z196" s="5">
        <f t="shared" si="37"/>
        <v>0</v>
      </c>
      <c r="AB196" t="e">
        <f t="shared" si="38"/>
        <v>#DIV/0!</v>
      </c>
    </row>
    <row r="197" spans="1:28" outlineLevel="1">
      <c r="A197" t="s">
        <v>321</v>
      </c>
      <c r="B197" t="s">
        <v>322</v>
      </c>
      <c r="D197" s="42">
        <v>0</v>
      </c>
      <c r="E197" s="42">
        <v>1</v>
      </c>
      <c r="F197" s="42">
        <v>0</v>
      </c>
      <c r="G197">
        <f t="shared" si="35"/>
        <v>1</v>
      </c>
      <c r="I197" s="22">
        <f t="shared" si="39"/>
        <v>0.33333333333333331</v>
      </c>
      <c r="J197" s="6">
        <f>+IFR!AD197</f>
        <v>3.3167495854063019E-3</v>
      </c>
      <c r="K197" s="14">
        <f t="shared" si="41"/>
        <v>0.95</v>
      </c>
      <c r="L197" s="22">
        <f t="shared" si="40"/>
        <v>0.31666666666666665</v>
      </c>
      <c r="M197" s="14">
        <v>1</v>
      </c>
      <c r="N197" s="14">
        <v>1</v>
      </c>
      <c r="P197" s="22">
        <f t="shared" si="36"/>
        <v>0.31666666666666665</v>
      </c>
      <c r="R197" s="3">
        <f t="shared" si="42"/>
        <v>4.9484450162647599E-5</v>
      </c>
      <c r="T197" s="5">
        <f>+R197*(assessment!$J$272*assessment!$E$3)</f>
        <v>382.85793614292163</v>
      </c>
      <c r="V197" s="6">
        <f>+T197/payroll!F197</f>
        <v>1.4325357962644805E-4</v>
      </c>
      <c r="X197" s="5">
        <f>IF(V197&lt;$X$2,T197, +payroll!F197 * $X$2)</f>
        <v>382.85793614292163</v>
      </c>
      <c r="Z197" s="5">
        <f t="shared" si="37"/>
        <v>0</v>
      </c>
      <c r="AB197">
        <f t="shared" si="38"/>
        <v>1</v>
      </c>
    </row>
    <row r="198" spans="1:28" outlineLevel="1">
      <c r="A198" t="s">
        <v>323</v>
      </c>
      <c r="B198" t="s">
        <v>324</v>
      </c>
      <c r="D198" s="42">
        <v>0</v>
      </c>
      <c r="E198" s="42">
        <v>0</v>
      </c>
      <c r="F198" s="42">
        <v>0</v>
      </c>
      <c r="G198">
        <f t="shared" si="35"/>
        <v>0</v>
      </c>
      <c r="I198" s="22">
        <f t="shared" si="39"/>
        <v>0</v>
      </c>
      <c r="J198" s="6">
        <f>+IFR!AD198</f>
        <v>0</v>
      </c>
      <c r="K198" s="14">
        <f t="shared" si="41"/>
        <v>0.95</v>
      </c>
      <c r="L198" s="22">
        <f t="shared" si="40"/>
        <v>0</v>
      </c>
      <c r="M198" s="14">
        <v>1</v>
      </c>
      <c r="N198" s="14">
        <v>1</v>
      </c>
      <c r="P198" s="22">
        <f t="shared" si="36"/>
        <v>0</v>
      </c>
      <c r="R198" s="3">
        <f t="shared" si="42"/>
        <v>0</v>
      </c>
      <c r="T198" s="5">
        <f>+R198*(assessment!$J$272*assessment!$E$3)</f>
        <v>0</v>
      </c>
      <c r="V198" s="6">
        <f>+T198/payroll!F198</f>
        <v>0</v>
      </c>
      <c r="X198" s="5">
        <f>IF(V198&lt;$X$2,T198, +payroll!F198 * $X$2)</f>
        <v>0</v>
      </c>
      <c r="Z198" s="5">
        <f t="shared" si="37"/>
        <v>0</v>
      </c>
      <c r="AB198" t="e">
        <f t="shared" si="38"/>
        <v>#DIV/0!</v>
      </c>
    </row>
    <row r="199" spans="1:28" outlineLevel="1">
      <c r="A199" t="s">
        <v>325</v>
      </c>
      <c r="B199" t="s">
        <v>326</v>
      </c>
      <c r="D199" s="42">
        <v>0</v>
      </c>
      <c r="E199" s="42">
        <v>3</v>
      </c>
      <c r="F199" s="42">
        <v>0</v>
      </c>
      <c r="G199">
        <f t="shared" si="35"/>
        <v>3</v>
      </c>
      <c r="I199" s="22">
        <f t="shared" si="39"/>
        <v>1</v>
      </c>
      <c r="J199" s="6">
        <f>+IFR!AD199</f>
        <v>0.01</v>
      </c>
      <c r="K199" s="14">
        <f t="shared" si="41"/>
        <v>0.95</v>
      </c>
      <c r="L199" s="22">
        <f t="shared" si="40"/>
        <v>0.95</v>
      </c>
      <c r="M199" s="14">
        <v>1</v>
      </c>
      <c r="N199" s="14">
        <v>1</v>
      </c>
      <c r="P199" s="22">
        <f t="shared" si="36"/>
        <v>0.95</v>
      </c>
      <c r="R199" s="3">
        <f t="shared" si="42"/>
        <v>1.4845335048794281E-4</v>
      </c>
      <c r="T199" s="5">
        <f>+R199*(assessment!$J$272*assessment!$E$3)</f>
        <v>1148.573808428765</v>
      </c>
      <c r="V199" s="6">
        <f>+T199/payroll!F199</f>
        <v>8.2160805634809051E-4</v>
      </c>
      <c r="X199" s="5">
        <f>IF(V199&lt;$X$2,T199, +payroll!F199 * $X$2)</f>
        <v>1148.573808428765</v>
      </c>
      <c r="Z199" s="5">
        <f t="shared" si="37"/>
        <v>0</v>
      </c>
      <c r="AB199">
        <f t="shared" si="38"/>
        <v>1</v>
      </c>
    </row>
    <row r="200" spans="1:28" outlineLevel="1">
      <c r="A200" t="s">
        <v>327</v>
      </c>
      <c r="B200" t="s">
        <v>328</v>
      </c>
      <c r="D200" s="42">
        <v>0</v>
      </c>
      <c r="E200" s="42">
        <v>0</v>
      </c>
      <c r="F200" s="42">
        <v>0</v>
      </c>
      <c r="G200">
        <f t="shared" si="35"/>
        <v>0</v>
      </c>
      <c r="I200" s="22">
        <f t="shared" si="39"/>
        <v>0</v>
      </c>
      <c r="J200" s="6">
        <f>+IFR!AD200</f>
        <v>0</v>
      </c>
      <c r="K200" s="14">
        <f t="shared" si="41"/>
        <v>0.95</v>
      </c>
      <c r="L200" s="22">
        <f t="shared" si="40"/>
        <v>0</v>
      </c>
      <c r="M200" s="14">
        <v>1</v>
      </c>
      <c r="N200" s="14">
        <v>1</v>
      </c>
      <c r="P200" s="22">
        <f t="shared" si="36"/>
        <v>0</v>
      </c>
      <c r="R200" s="3">
        <f t="shared" si="42"/>
        <v>0</v>
      </c>
      <c r="T200" s="5">
        <f>+R200*(assessment!$J$272*assessment!$E$3)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37"/>
        <v>0</v>
      </c>
      <c r="AB200" t="e">
        <f t="shared" si="38"/>
        <v>#DIV/0!</v>
      </c>
    </row>
    <row r="201" spans="1:28" outlineLevel="1">
      <c r="A201" t="s">
        <v>329</v>
      </c>
      <c r="B201" t="s">
        <v>330</v>
      </c>
      <c r="D201" s="42">
        <v>0</v>
      </c>
      <c r="E201" s="42">
        <v>0</v>
      </c>
      <c r="F201" s="42">
        <v>0</v>
      </c>
      <c r="G201">
        <f t="shared" si="35"/>
        <v>0</v>
      </c>
      <c r="I201" s="22">
        <f t="shared" si="39"/>
        <v>0</v>
      </c>
      <c r="J201" s="6">
        <f>+IFR!AD201</f>
        <v>0</v>
      </c>
      <c r="K201" s="14">
        <f t="shared" si="41"/>
        <v>0.95</v>
      </c>
      <c r="L201" s="22">
        <f t="shared" si="40"/>
        <v>0</v>
      </c>
      <c r="M201" s="14">
        <v>1</v>
      </c>
      <c r="N201" s="14">
        <v>1</v>
      </c>
      <c r="P201" s="22">
        <f t="shared" si="36"/>
        <v>0</v>
      </c>
      <c r="R201" s="3">
        <f t="shared" si="42"/>
        <v>0</v>
      </c>
      <c r="T201" s="5">
        <f>+R201*(assessment!$J$272*assessment!$E$3)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 t="shared" si="37"/>
        <v>0</v>
      </c>
      <c r="AB201" t="e">
        <f t="shared" si="38"/>
        <v>#DIV/0!</v>
      </c>
    </row>
    <row r="202" spans="1:28" outlineLevel="1">
      <c r="A202" t="s">
        <v>505</v>
      </c>
      <c r="B202" t="s">
        <v>503</v>
      </c>
      <c r="D202" s="42">
        <v>0</v>
      </c>
      <c r="E202" s="42">
        <v>0</v>
      </c>
      <c r="F202" s="42">
        <v>0</v>
      </c>
      <c r="G202">
        <f>SUM(D202:F202)</f>
        <v>0</v>
      </c>
      <c r="I202" s="22">
        <f>AVERAGE(D202:F202)</f>
        <v>0</v>
      </c>
      <c r="J202" s="6">
        <f>+IFR!AD202</f>
        <v>0</v>
      </c>
      <c r="K202" s="14">
        <f t="shared" si="41"/>
        <v>0.95</v>
      </c>
      <c r="L202" s="22">
        <f>+I202*K202</f>
        <v>0</v>
      </c>
      <c r="M202" s="14">
        <v>1</v>
      </c>
      <c r="N202" s="14">
        <v>1</v>
      </c>
      <c r="P202" s="22">
        <f>+L202*M202*N202</f>
        <v>0</v>
      </c>
      <c r="R202" s="3">
        <f t="shared" si="42"/>
        <v>0</v>
      </c>
      <c r="T202" s="5">
        <f>+R202*(assessment!$J$272*assessment!$E$3)</f>
        <v>0</v>
      </c>
      <c r="V202" s="6">
        <f>+T202/payroll!F202</f>
        <v>0</v>
      </c>
      <c r="X202" s="5">
        <f>IF(V202&lt;$X$2,T202, +payroll!F202 * $X$2)</f>
        <v>0</v>
      </c>
      <c r="Z202" s="5">
        <f>+T202-X202</f>
        <v>0</v>
      </c>
      <c r="AB202" t="e">
        <f>+X202/T202</f>
        <v>#DIV/0!</v>
      </c>
    </row>
    <row r="203" spans="1:28" outlineLevel="1">
      <c r="A203" t="s">
        <v>331</v>
      </c>
      <c r="B203" t="s">
        <v>332</v>
      </c>
      <c r="D203" s="42">
        <v>0</v>
      </c>
      <c r="E203" s="42">
        <v>1</v>
      </c>
      <c r="F203" s="42">
        <v>0</v>
      </c>
      <c r="G203">
        <f t="shared" si="35"/>
        <v>1</v>
      </c>
      <c r="I203" s="22">
        <f t="shared" si="39"/>
        <v>0.33333333333333331</v>
      </c>
      <c r="J203" s="6">
        <f>+IFR!AD203</f>
        <v>3.3333333333333335E-3</v>
      </c>
      <c r="K203" s="14">
        <f t="shared" si="41"/>
        <v>0.95</v>
      </c>
      <c r="L203" s="22">
        <f t="shared" si="40"/>
        <v>0.31666666666666665</v>
      </c>
      <c r="M203" s="14">
        <v>1</v>
      </c>
      <c r="N203" s="14">
        <v>1</v>
      </c>
      <c r="P203" s="22">
        <f t="shared" si="36"/>
        <v>0.31666666666666665</v>
      </c>
      <c r="R203" s="3">
        <f t="shared" si="42"/>
        <v>4.9484450162647599E-5</v>
      </c>
      <c r="T203" s="5">
        <f>+R203*(assessment!$J$272*assessment!$E$3)</f>
        <v>382.85793614292163</v>
      </c>
      <c r="V203" s="6">
        <f>+T203/payroll!F203</f>
        <v>4.1314634394102614E-4</v>
      </c>
      <c r="X203" s="5">
        <f>IF(V203&lt;$X$2,T203, +payroll!F203 * $X$2)</f>
        <v>382.85793614292163</v>
      </c>
      <c r="Z203" s="5">
        <f t="shared" si="37"/>
        <v>0</v>
      </c>
      <c r="AB203">
        <f t="shared" si="38"/>
        <v>1</v>
      </c>
    </row>
    <row r="204" spans="1:28" outlineLevel="1">
      <c r="A204" t="s">
        <v>333</v>
      </c>
      <c r="B204" t="s">
        <v>334</v>
      </c>
      <c r="D204" s="42">
        <v>0</v>
      </c>
      <c r="E204" s="42">
        <v>0</v>
      </c>
      <c r="F204" s="42">
        <v>0</v>
      </c>
      <c r="G204">
        <f t="shared" si="35"/>
        <v>0</v>
      </c>
      <c r="I204" s="22">
        <f t="shared" si="39"/>
        <v>0</v>
      </c>
      <c r="J204" s="6">
        <f>+IFR!AD204</f>
        <v>0</v>
      </c>
      <c r="K204" s="14">
        <f t="shared" si="41"/>
        <v>0.95</v>
      </c>
      <c r="L204" s="22">
        <f t="shared" si="40"/>
        <v>0</v>
      </c>
      <c r="M204" s="14">
        <v>1</v>
      </c>
      <c r="N204" s="14">
        <v>1</v>
      </c>
      <c r="P204" s="22">
        <f t="shared" si="36"/>
        <v>0</v>
      </c>
      <c r="R204" s="3">
        <f t="shared" si="42"/>
        <v>0</v>
      </c>
      <c r="T204" s="5">
        <f>+R204*(assessment!$J$272*assessment!$E$3)</f>
        <v>0</v>
      </c>
      <c r="V204" s="6">
        <f>+T204/payroll!F204</f>
        <v>0</v>
      </c>
      <c r="X204" s="5">
        <f>IF(V204&lt;$X$2,T204, +payroll!F204 * $X$2)</f>
        <v>0</v>
      </c>
      <c r="Z204" s="5">
        <f t="shared" si="37"/>
        <v>0</v>
      </c>
      <c r="AB204" t="e">
        <f t="shared" si="38"/>
        <v>#DIV/0!</v>
      </c>
    </row>
    <row r="205" spans="1:28" outlineLevel="1">
      <c r="A205" t="s">
        <v>335</v>
      </c>
      <c r="B205" t="s">
        <v>336</v>
      </c>
      <c r="D205" s="42">
        <v>0</v>
      </c>
      <c r="E205" s="42">
        <v>0</v>
      </c>
      <c r="F205" s="42">
        <v>0</v>
      </c>
      <c r="G205">
        <f t="shared" si="35"/>
        <v>0</v>
      </c>
      <c r="I205" s="22">
        <f t="shared" si="39"/>
        <v>0</v>
      </c>
      <c r="J205" s="6">
        <f>+IFR!AD205</f>
        <v>0</v>
      </c>
      <c r="K205" s="14">
        <f t="shared" si="41"/>
        <v>0.95</v>
      </c>
      <c r="L205" s="22">
        <f t="shared" si="40"/>
        <v>0</v>
      </c>
      <c r="M205" s="14">
        <v>1</v>
      </c>
      <c r="N205" s="14">
        <v>1</v>
      </c>
      <c r="P205" s="22">
        <f t="shared" si="36"/>
        <v>0</v>
      </c>
      <c r="R205" s="3">
        <f t="shared" si="42"/>
        <v>0</v>
      </c>
      <c r="T205" s="5">
        <f>+R205*(assessment!$J$272*assessment!$E$3)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 t="shared" si="37"/>
        <v>0</v>
      </c>
      <c r="AB205" t="e">
        <f t="shared" si="38"/>
        <v>#DIV/0!</v>
      </c>
    </row>
    <row r="206" spans="1:28" outlineLevel="1">
      <c r="A206" t="s">
        <v>337</v>
      </c>
      <c r="B206" t="s">
        <v>338</v>
      </c>
      <c r="D206" s="42">
        <v>0</v>
      </c>
      <c r="E206" s="42">
        <v>0</v>
      </c>
      <c r="F206" s="42">
        <v>0</v>
      </c>
      <c r="G206">
        <f t="shared" si="35"/>
        <v>0</v>
      </c>
      <c r="I206" s="22">
        <f t="shared" si="39"/>
        <v>0</v>
      </c>
      <c r="J206" s="6">
        <f>+IFR!AD206</f>
        <v>0</v>
      </c>
      <c r="K206" s="14">
        <f t="shared" si="41"/>
        <v>0.95</v>
      </c>
      <c r="L206" s="22">
        <f t="shared" si="40"/>
        <v>0</v>
      </c>
      <c r="M206" s="14">
        <v>1</v>
      </c>
      <c r="N206" s="14">
        <v>1</v>
      </c>
      <c r="P206" s="22">
        <f t="shared" si="36"/>
        <v>0</v>
      </c>
      <c r="R206" s="3">
        <f t="shared" si="42"/>
        <v>0</v>
      </c>
      <c r="T206" s="5">
        <f>+R206*(assessment!$J$272*assessment!$E$3)</f>
        <v>0</v>
      </c>
      <c r="V206" s="6">
        <f>+T206/payroll!F206</f>
        <v>0</v>
      </c>
      <c r="X206" s="5">
        <f>IF(V206&lt;$X$2,T206, +payroll!F206 * $X$2)</f>
        <v>0</v>
      </c>
      <c r="Z206" s="5">
        <f t="shared" si="37"/>
        <v>0</v>
      </c>
      <c r="AB206" t="e">
        <f t="shared" si="38"/>
        <v>#DIV/0!</v>
      </c>
    </row>
    <row r="207" spans="1:28" outlineLevel="1">
      <c r="A207" t="s">
        <v>339</v>
      </c>
      <c r="B207" t="s">
        <v>340</v>
      </c>
      <c r="D207" s="42">
        <v>1</v>
      </c>
      <c r="E207" s="42">
        <v>1</v>
      </c>
      <c r="F207" s="42">
        <v>0</v>
      </c>
      <c r="G207">
        <f t="shared" si="35"/>
        <v>2</v>
      </c>
      <c r="I207" s="22">
        <f t="shared" si="39"/>
        <v>0.66666666666666663</v>
      </c>
      <c r="J207" s="6">
        <f>+IFR!AD207</f>
        <v>5.0000000000000001E-3</v>
      </c>
      <c r="K207" s="14">
        <f t="shared" si="41"/>
        <v>0.95</v>
      </c>
      <c r="L207" s="22">
        <f t="shared" si="40"/>
        <v>0.6333333333333333</v>
      </c>
      <c r="M207" s="14">
        <v>1</v>
      </c>
      <c r="N207" s="14">
        <v>1</v>
      </c>
      <c r="P207" s="22">
        <f t="shared" si="36"/>
        <v>0.6333333333333333</v>
      </c>
      <c r="R207" s="3">
        <f t="shared" si="42"/>
        <v>9.8968900325295198E-5</v>
      </c>
      <c r="T207" s="5">
        <f>+R207*(assessment!$J$272*assessment!$E$3)</f>
        <v>765.71587228584326</v>
      </c>
      <c r="V207" s="6">
        <f>+T207/payroll!F207</f>
        <v>4.388643590488684E-4</v>
      </c>
      <c r="X207" s="5">
        <f>IF(V207&lt;$X$2,T207, +payroll!F207 * $X$2)</f>
        <v>765.71587228584326</v>
      </c>
      <c r="Z207" s="5">
        <f t="shared" si="37"/>
        <v>0</v>
      </c>
      <c r="AB207">
        <f t="shared" si="38"/>
        <v>1</v>
      </c>
    </row>
    <row r="208" spans="1:28" outlineLevel="1">
      <c r="A208" t="s">
        <v>341</v>
      </c>
      <c r="B208" t="s">
        <v>342</v>
      </c>
      <c r="D208" s="42">
        <v>0</v>
      </c>
      <c r="E208" s="42">
        <v>0</v>
      </c>
      <c r="F208" s="42">
        <v>0</v>
      </c>
      <c r="G208">
        <f t="shared" si="35"/>
        <v>0</v>
      </c>
      <c r="I208" s="22">
        <f t="shared" si="39"/>
        <v>0</v>
      </c>
      <c r="J208" s="6">
        <f>+IFR!AD208</f>
        <v>0</v>
      </c>
      <c r="K208" s="14">
        <f t="shared" si="41"/>
        <v>0.95</v>
      </c>
      <c r="L208" s="22">
        <f t="shared" si="40"/>
        <v>0</v>
      </c>
      <c r="M208" s="14">
        <v>1</v>
      </c>
      <c r="N208" s="14">
        <v>1</v>
      </c>
      <c r="P208" s="22">
        <f t="shared" si="36"/>
        <v>0</v>
      </c>
      <c r="R208" s="3">
        <f t="shared" si="42"/>
        <v>0</v>
      </c>
      <c r="T208" s="5">
        <f>+R208*(assessment!$J$272*assessment!$E$3)</f>
        <v>0</v>
      </c>
      <c r="V208" s="6">
        <f>+T208/payroll!F208</f>
        <v>0</v>
      </c>
      <c r="X208" s="5">
        <f>IF(V208&lt;$X$2,T208, +payroll!F208 * $X$2)</f>
        <v>0</v>
      </c>
      <c r="Z208" s="5">
        <f t="shared" si="37"/>
        <v>0</v>
      </c>
      <c r="AB208" t="e">
        <f t="shared" si="38"/>
        <v>#DIV/0!</v>
      </c>
    </row>
    <row r="209" spans="1:28" outlineLevel="1">
      <c r="A209" t="s">
        <v>343</v>
      </c>
      <c r="B209" t="s">
        <v>344</v>
      </c>
      <c r="D209" s="42">
        <v>0</v>
      </c>
      <c r="E209" s="42">
        <v>1</v>
      </c>
      <c r="F209" s="42">
        <v>1</v>
      </c>
      <c r="G209">
        <f t="shared" si="35"/>
        <v>2</v>
      </c>
      <c r="I209" s="22">
        <f t="shared" si="39"/>
        <v>0.66666666666666663</v>
      </c>
      <c r="J209" s="6">
        <f>+IFR!AD209</f>
        <v>8.3333333333333332E-3</v>
      </c>
      <c r="K209" s="14">
        <f t="shared" si="41"/>
        <v>0.95</v>
      </c>
      <c r="L209" s="22">
        <f t="shared" si="40"/>
        <v>0.6333333333333333</v>
      </c>
      <c r="M209" s="14">
        <v>1</v>
      </c>
      <c r="N209" s="14">
        <v>1</v>
      </c>
      <c r="P209" s="22">
        <f t="shared" si="36"/>
        <v>0.6333333333333333</v>
      </c>
      <c r="R209" s="3">
        <f t="shared" si="42"/>
        <v>9.8968900325295198E-5</v>
      </c>
      <c r="T209" s="5">
        <f>+R209*(assessment!$J$272*assessment!$E$3)</f>
        <v>765.71587228584326</v>
      </c>
      <c r="V209" s="6">
        <f>+T209/payroll!F209</f>
        <v>1.6664858213485101E-3</v>
      </c>
      <c r="X209" s="5">
        <f>IF(V209&lt;$X$2,T209, +payroll!F209 * $X$2)</f>
        <v>765.71587228584326</v>
      </c>
      <c r="Z209" s="5">
        <f t="shared" si="37"/>
        <v>0</v>
      </c>
      <c r="AB209">
        <f t="shared" si="38"/>
        <v>1</v>
      </c>
    </row>
    <row r="210" spans="1:28" outlineLevel="1">
      <c r="A210" t="s">
        <v>345</v>
      </c>
      <c r="B210" t="s">
        <v>346</v>
      </c>
      <c r="D210" s="42">
        <v>3</v>
      </c>
      <c r="E210" s="42">
        <v>7</v>
      </c>
      <c r="F210" s="42">
        <v>1</v>
      </c>
      <c r="G210">
        <f t="shared" si="35"/>
        <v>11</v>
      </c>
      <c r="I210" s="22">
        <f t="shared" si="39"/>
        <v>3.6666666666666665</v>
      </c>
      <c r="J210" s="6">
        <f>+IFR!AD210</f>
        <v>2.1876808553801617E-2</v>
      </c>
      <c r="K210" s="14">
        <f t="shared" si="41"/>
        <v>0.95</v>
      </c>
      <c r="L210" s="22">
        <f t="shared" si="40"/>
        <v>3.4833333333333329</v>
      </c>
      <c r="M210" s="14">
        <v>1</v>
      </c>
      <c r="N210" s="14">
        <v>1</v>
      </c>
      <c r="P210" s="22">
        <f t="shared" si="36"/>
        <v>3.4833333333333329</v>
      </c>
      <c r="R210" s="3">
        <f t="shared" si="42"/>
        <v>5.443289517891236E-4</v>
      </c>
      <c r="T210" s="5">
        <f>+R210*(assessment!$J$272*assessment!$E$3)</f>
        <v>4211.437297572138</v>
      </c>
      <c r="V210" s="6">
        <f>+T210/payroll!F210</f>
        <v>7.0660680639288967E-4</v>
      </c>
      <c r="X210" s="5">
        <f>IF(V210&lt;$X$2,T210, +payroll!F210 * $X$2)</f>
        <v>4211.437297572138</v>
      </c>
      <c r="Z210" s="5">
        <f t="shared" si="37"/>
        <v>0</v>
      </c>
      <c r="AB210">
        <f t="shared" si="38"/>
        <v>1</v>
      </c>
    </row>
    <row r="211" spans="1:28" outlineLevel="1">
      <c r="A211" t="s">
        <v>486</v>
      </c>
      <c r="B211" t="s">
        <v>350</v>
      </c>
      <c r="D211" s="42">
        <v>0</v>
      </c>
      <c r="E211" s="42">
        <v>0</v>
      </c>
      <c r="F211" s="42">
        <v>0</v>
      </c>
      <c r="G211">
        <f>SUM(D211:F211)</f>
        <v>0</v>
      </c>
      <c r="I211" s="22">
        <f>AVERAGE(D211:F211)</f>
        <v>0</v>
      </c>
      <c r="J211" s="6">
        <f>+IFR!AD211</f>
        <v>0</v>
      </c>
      <c r="K211" s="14">
        <f t="shared" si="41"/>
        <v>0.95</v>
      </c>
      <c r="L211" s="22">
        <f>+I211*K211</f>
        <v>0</v>
      </c>
      <c r="M211" s="14">
        <v>1</v>
      </c>
      <c r="N211" s="14">
        <v>1</v>
      </c>
      <c r="P211" s="22">
        <f>+L211*M211*N211</f>
        <v>0</v>
      </c>
      <c r="R211" s="3">
        <f t="shared" si="42"/>
        <v>0</v>
      </c>
      <c r="T211" s="5">
        <f>+R211*(assessment!$J$272*assessment!$E$3)</f>
        <v>0</v>
      </c>
      <c r="V211" s="6">
        <f>+T211/payroll!F211</f>
        <v>0</v>
      </c>
      <c r="X211" s="5">
        <f>IF(V211&lt;$X$2,T211, +payroll!F211 * $X$2)</f>
        <v>0</v>
      </c>
      <c r="Z211" s="5">
        <f>+T211-X211</f>
        <v>0</v>
      </c>
      <c r="AB211" t="e">
        <f>+X211/T211</f>
        <v>#DIV/0!</v>
      </c>
    </row>
    <row r="212" spans="1:28" outlineLevel="1">
      <c r="A212" t="s">
        <v>487</v>
      </c>
      <c r="B212" t="s">
        <v>351</v>
      </c>
      <c r="D212" s="42">
        <v>0</v>
      </c>
      <c r="E212" s="42">
        <v>0</v>
      </c>
      <c r="F212" s="42">
        <v>0</v>
      </c>
      <c r="G212">
        <f>SUM(D212:F212)</f>
        <v>0</v>
      </c>
      <c r="I212" s="22">
        <f>AVERAGE(D212:F212)</f>
        <v>0</v>
      </c>
      <c r="J212" s="6">
        <f>+IFR!AD212</f>
        <v>0</v>
      </c>
      <c r="K212" s="14">
        <f t="shared" si="41"/>
        <v>0.95</v>
      </c>
      <c r="L212" s="22">
        <f>+I212*K212</f>
        <v>0</v>
      </c>
      <c r="M212" s="14">
        <v>1</v>
      </c>
      <c r="N212" s="14">
        <v>1</v>
      </c>
      <c r="P212" s="22">
        <f>+L212*M212*N212</f>
        <v>0</v>
      </c>
      <c r="R212" s="3">
        <f t="shared" si="42"/>
        <v>0</v>
      </c>
      <c r="T212" s="5">
        <f>+R212*(assessment!$J$272*assessment!$E$3)</f>
        <v>0</v>
      </c>
      <c r="V212" s="6">
        <f>+T212/payroll!F212</f>
        <v>0</v>
      </c>
      <c r="X212" s="5">
        <f>IF(V212&lt;$X$2,T212, +payroll!F212 * $X$2)</f>
        <v>0</v>
      </c>
      <c r="Z212" s="5">
        <f>+T212-X212</f>
        <v>0</v>
      </c>
      <c r="AB212" t="e">
        <f>+X212/T212</f>
        <v>#DIV/0!</v>
      </c>
    </row>
    <row r="213" spans="1:28" outlineLevel="1">
      <c r="A213" t="s">
        <v>488</v>
      </c>
      <c r="B213" t="s">
        <v>347</v>
      </c>
      <c r="D213" s="42">
        <v>0</v>
      </c>
      <c r="E213" s="42">
        <v>0</v>
      </c>
      <c r="F213" s="42">
        <v>0</v>
      </c>
      <c r="G213">
        <f t="shared" si="35"/>
        <v>0</v>
      </c>
      <c r="I213" s="22">
        <f t="shared" si="39"/>
        <v>0</v>
      </c>
      <c r="J213" s="6">
        <f>+IFR!AD213</f>
        <v>0</v>
      </c>
      <c r="K213" s="14">
        <f t="shared" si="41"/>
        <v>0.95</v>
      </c>
      <c r="L213" s="22">
        <f t="shared" si="40"/>
        <v>0</v>
      </c>
      <c r="M213" s="14">
        <v>1</v>
      </c>
      <c r="N213" s="14">
        <v>1</v>
      </c>
      <c r="P213" s="22">
        <f t="shared" si="36"/>
        <v>0</v>
      </c>
      <c r="R213" s="3">
        <f t="shared" si="42"/>
        <v>0</v>
      </c>
      <c r="T213" s="5">
        <f>+R213*(assessment!$J$272*assessment!$E$3)</f>
        <v>0</v>
      </c>
      <c r="V213" s="6">
        <f>+T213/payroll!F213</f>
        <v>0</v>
      </c>
      <c r="X213" s="5">
        <f>IF(V213&lt;$X$2,T213, +payroll!F213 * $X$2)</f>
        <v>0</v>
      </c>
      <c r="Z213" s="5">
        <f t="shared" si="37"/>
        <v>0</v>
      </c>
      <c r="AB213" t="e">
        <f t="shared" si="38"/>
        <v>#DIV/0!</v>
      </c>
    </row>
    <row r="214" spans="1:28" outlineLevel="1">
      <c r="A214" t="s">
        <v>349</v>
      </c>
      <c r="B214" t="s">
        <v>348</v>
      </c>
      <c r="D214" s="42">
        <v>0</v>
      </c>
      <c r="E214" s="42">
        <v>0</v>
      </c>
      <c r="F214" s="42">
        <v>3</v>
      </c>
      <c r="G214">
        <f t="shared" si="35"/>
        <v>3</v>
      </c>
      <c r="I214" s="22">
        <f t="shared" si="39"/>
        <v>1</v>
      </c>
      <c r="J214" s="6">
        <f>+IFR!AD214</f>
        <v>1.4999999999999999E-2</v>
      </c>
      <c r="K214" s="14">
        <f t="shared" si="41"/>
        <v>0.95</v>
      </c>
      <c r="L214" s="22">
        <f t="shared" si="40"/>
        <v>0.95</v>
      </c>
      <c r="M214" s="14">
        <v>1</v>
      </c>
      <c r="N214" s="14">
        <v>1</v>
      </c>
      <c r="P214" s="22">
        <f t="shared" si="36"/>
        <v>0.95</v>
      </c>
      <c r="R214" s="3">
        <f t="shared" si="42"/>
        <v>1.4845335048794281E-4</v>
      </c>
      <c r="T214" s="5">
        <f>+R214*(assessment!$J$272*assessment!$E$3)</f>
        <v>1148.573808428765</v>
      </c>
      <c r="V214" s="6">
        <f>+T214/payroll!F214</f>
        <v>3.9801672206687277E-4</v>
      </c>
      <c r="X214" s="5">
        <f>IF(V214&lt;$X$2,T214, +payroll!F214 * $X$2)</f>
        <v>1148.573808428765</v>
      </c>
      <c r="Z214" s="5">
        <f t="shared" si="37"/>
        <v>0</v>
      </c>
      <c r="AB214">
        <f t="shared" si="38"/>
        <v>1</v>
      </c>
    </row>
    <row r="215" spans="1:28" outlineLevel="1">
      <c r="A215" t="s">
        <v>352</v>
      </c>
      <c r="B215" t="s">
        <v>353</v>
      </c>
      <c r="D215" s="42">
        <v>0</v>
      </c>
      <c r="E215" s="42">
        <v>0</v>
      </c>
      <c r="F215" s="42">
        <v>2</v>
      </c>
      <c r="G215">
        <f t="shared" si="35"/>
        <v>2</v>
      </c>
      <c r="I215" s="22">
        <f t="shared" si="39"/>
        <v>0.66666666666666663</v>
      </c>
      <c r="J215" s="6">
        <f>+IFR!AD215</f>
        <v>0.01</v>
      </c>
      <c r="K215" s="14">
        <f t="shared" si="41"/>
        <v>0.95</v>
      </c>
      <c r="L215" s="22">
        <f t="shared" si="40"/>
        <v>0.6333333333333333</v>
      </c>
      <c r="M215" s="14">
        <v>1</v>
      </c>
      <c r="N215" s="14">
        <v>1</v>
      </c>
      <c r="P215" s="22">
        <f t="shared" si="36"/>
        <v>0.6333333333333333</v>
      </c>
      <c r="R215" s="3">
        <f t="shared" si="42"/>
        <v>9.8968900325295198E-5</v>
      </c>
      <c r="T215" s="5">
        <f>+R215*(assessment!$J$272*assessment!$E$3)</f>
        <v>765.71587228584326</v>
      </c>
      <c r="V215" s="6">
        <f>+T215/payroll!F215</f>
        <v>4.7662483035292014E-4</v>
      </c>
      <c r="X215" s="5">
        <f>IF(V215&lt;$X$2,T215, +payroll!F215 * $X$2)</f>
        <v>765.71587228584326</v>
      </c>
      <c r="Z215" s="5">
        <f t="shared" si="37"/>
        <v>0</v>
      </c>
      <c r="AB215">
        <f t="shared" si="38"/>
        <v>1</v>
      </c>
    </row>
    <row r="216" spans="1:28" outlineLevel="1">
      <c r="A216" t="s">
        <v>354</v>
      </c>
      <c r="B216" t="s">
        <v>355</v>
      </c>
      <c r="D216" s="42">
        <v>0</v>
      </c>
      <c r="E216" s="42">
        <v>0</v>
      </c>
      <c r="F216" s="42">
        <v>0</v>
      </c>
      <c r="G216">
        <f t="shared" si="35"/>
        <v>0</v>
      </c>
      <c r="I216" s="22">
        <f t="shared" si="39"/>
        <v>0</v>
      </c>
      <c r="J216" s="6">
        <f>+IFR!AD216</f>
        <v>0</v>
      </c>
      <c r="K216" s="14">
        <f t="shared" si="41"/>
        <v>0.95</v>
      </c>
      <c r="L216" s="22">
        <f t="shared" si="40"/>
        <v>0</v>
      </c>
      <c r="M216" s="14">
        <v>1</v>
      </c>
      <c r="N216" s="14">
        <v>1</v>
      </c>
      <c r="P216" s="22">
        <f t="shared" si="36"/>
        <v>0</v>
      </c>
      <c r="R216" s="3">
        <f t="shared" si="42"/>
        <v>0</v>
      </c>
      <c r="T216" s="5">
        <f>+R216*(assessment!$J$272*assessment!$E$3)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37"/>
        <v>0</v>
      </c>
      <c r="AB216" t="e">
        <f t="shared" si="38"/>
        <v>#DIV/0!</v>
      </c>
    </row>
    <row r="217" spans="1:28" outlineLevel="1">
      <c r="A217" t="s">
        <v>356</v>
      </c>
      <c r="B217" t="s">
        <v>357</v>
      </c>
      <c r="D217" s="42">
        <v>0</v>
      </c>
      <c r="E217" s="42">
        <v>0</v>
      </c>
      <c r="F217" s="42">
        <v>0</v>
      </c>
      <c r="G217">
        <f t="shared" si="35"/>
        <v>0</v>
      </c>
      <c r="I217" s="22">
        <f t="shared" si="39"/>
        <v>0</v>
      </c>
      <c r="J217" s="6">
        <f>+IFR!AD217</f>
        <v>0</v>
      </c>
      <c r="K217" s="14">
        <f t="shared" si="41"/>
        <v>0.95</v>
      </c>
      <c r="L217" s="22">
        <f t="shared" si="40"/>
        <v>0</v>
      </c>
      <c r="M217" s="14">
        <v>1</v>
      </c>
      <c r="N217" s="14">
        <v>1</v>
      </c>
      <c r="P217" s="22">
        <f t="shared" si="36"/>
        <v>0</v>
      </c>
      <c r="R217" s="3">
        <f t="shared" si="42"/>
        <v>0</v>
      </c>
      <c r="T217" s="5">
        <f>+R217*(assessment!$J$272*assessment!$E$3)</f>
        <v>0</v>
      </c>
      <c r="V217" s="6">
        <f>+T217/payroll!F217</f>
        <v>0</v>
      </c>
      <c r="X217" s="5">
        <f>IF(V217&lt;$X$2,T217, +payroll!F217 * $X$2)</f>
        <v>0</v>
      </c>
      <c r="Z217" s="5">
        <f t="shared" si="37"/>
        <v>0</v>
      </c>
      <c r="AB217" t="e">
        <f t="shared" si="38"/>
        <v>#DIV/0!</v>
      </c>
    </row>
    <row r="218" spans="1:28" outlineLevel="1">
      <c r="A218" t="s">
        <v>358</v>
      </c>
      <c r="B218" t="s">
        <v>359</v>
      </c>
      <c r="D218" s="42">
        <v>0</v>
      </c>
      <c r="E218" s="42">
        <v>2</v>
      </c>
      <c r="F218" s="42">
        <v>0</v>
      </c>
      <c r="G218">
        <f t="shared" si="35"/>
        <v>2</v>
      </c>
      <c r="I218" s="22">
        <f t="shared" si="39"/>
        <v>0.66666666666666663</v>
      </c>
      <c r="J218" s="6">
        <f>+IFR!AD218</f>
        <v>6.6666666666666671E-3</v>
      </c>
      <c r="K218" s="14">
        <f t="shared" si="41"/>
        <v>0.95</v>
      </c>
      <c r="L218" s="22">
        <f t="shared" si="40"/>
        <v>0.6333333333333333</v>
      </c>
      <c r="M218" s="14">
        <v>1</v>
      </c>
      <c r="N218" s="14">
        <v>1</v>
      </c>
      <c r="P218" s="22">
        <f t="shared" si="36"/>
        <v>0.6333333333333333</v>
      </c>
      <c r="R218" s="3">
        <f t="shared" si="42"/>
        <v>9.8968900325295198E-5</v>
      </c>
      <c r="T218" s="5">
        <f>+R218*(assessment!$J$272*assessment!$E$3)</f>
        <v>765.71587228584326</v>
      </c>
      <c r="V218" s="6">
        <f>+T218/payroll!F218</f>
        <v>2.5771450349625752E-4</v>
      </c>
      <c r="X218" s="5">
        <f>IF(V218&lt;$X$2,T218, +payroll!F218 * $X$2)</f>
        <v>765.71587228584326</v>
      </c>
      <c r="Z218" s="5">
        <f t="shared" si="37"/>
        <v>0</v>
      </c>
      <c r="AB218">
        <f t="shared" si="38"/>
        <v>1</v>
      </c>
    </row>
    <row r="219" spans="1:28" outlineLevel="1">
      <c r="A219" t="s">
        <v>360</v>
      </c>
      <c r="B219" t="s">
        <v>361</v>
      </c>
      <c r="D219" s="42">
        <v>0</v>
      </c>
      <c r="E219" s="42">
        <v>0</v>
      </c>
      <c r="F219" s="42">
        <v>0</v>
      </c>
      <c r="G219">
        <f t="shared" si="35"/>
        <v>0</v>
      </c>
      <c r="I219" s="22">
        <f t="shared" si="39"/>
        <v>0</v>
      </c>
      <c r="J219" s="6">
        <f>+IFR!AD219</f>
        <v>0</v>
      </c>
      <c r="K219" s="14">
        <f t="shared" si="41"/>
        <v>0.95</v>
      </c>
      <c r="L219" s="22">
        <f t="shared" si="40"/>
        <v>0</v>
      </c>
      <c r="M219" s="14">
        <v>1</v>
      </c>
      <c r="N219" s="14">
        <v>1</v>
      </c>
      <c r="P219" s="22">
        <f t="shared" si="36"/>
        <v>0</v>
      </c>
      <c r="R219" s="3">
        <f t="shared" si="42"/>
        <v>0</v>
      </c>
      <c r="T219" s="5">
        <f>+R219*(assessment!$J$272*assessment!$E$3)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37"/>
        <v>0</v>
      </c>
      <c r="AB219" t="e">
        <f t="shared" si="38"/>
        <v>#DIV/0!</v>
      </c>
    </row>
    <row r="220" spans="1:28" outlineLevel="1">
      <c r="A220" t="s">
        <v>362</v>
      </c>
      <c r="B220" t="s">
        <v>363</v>
      </c>
      <c r="D220" s="42">
        <v>0</v>
      </c>
      <c r="E220" s="42">
        <v>0</v>
      </c>
      <c r="F220" s="42">
        <v>0</v>
      </c>
      <c r="G220">
        <f t="shared" si="35"/>
        <v>0</v>
      </c>
      <c r="I220" s="22">
        <f t="shared" si="39"/>
        <v>0</v>
      </c>
      <c r="J220" s="6">
        <f>+IFR!AD220</f>
        <v>0</v>
      </c>
      <c r="K220" s="14">
        <f t="shared" si="41"/>
        <v>0.95</v>
      </c>
      <c r="L220" s="22">
        <f t="shared" si="40"/>
        <v>0</v>
      </c>
      <c r="M220" s="14">
        <v>1</v>
      </c>
      <c r="N220" s="14">
        <v>1</v>
      </c>
      <c r="P220" s="22">
        <f t="shared" si="36"/>
        <v>0</v>
      </c>
      <c r="R220" s="3">
        <f t="shared" si="42"/>
        <v>0</v>
      </c>
      <c r="T220" s="5">
        <f>+R220*(assessment!$J$272*assessment!$E$3)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37"/>
        <v>0</v>
      </c>
      <c r="AB220" t="e">
        <f t="shared" si="38"/>
        <v>#DIV/0!</v>
      </c>
    </row>
    <row r="221" spans="1:28" outlineLevel="1">
      <c r="A221" t="s">
        <v>364</v>
      </c>
      <c r="B221" t="s">
        <v>365</v>
      </c>
      <c r="D221" s="42">
        <v>0</v>
      </c>
      <c r="E221" s="42">
        <v>0</v>
      </c>
      <c r="F221" s="42">
        <v>0</v>
      </c>
      <c r="G221">
        <f t="shared" si="35"/>
        <v>0</v>
      </c>
      <c r="I221" s="22">
        <f t="shared" si="39"/>
        <v>0</v>
      </c>
      <c r="J221" s="6">
        <f>+IFR!AD221</f>
        <v>0</v>
      </c>
      <c r="K221" s="14">
        <f t="shared" si="41"/>
        <v>0.95</v>
      </c>
      <c r="L221" s="22">
        <f t="shared" si="40"/>
        <v>0</v>
      </c>
      <c r="M221" s="14">
        <v>1</v>
      </c>
      <c r="N221" s="14">
        <v>1</v>
      </c>
      <c r="P221" s="22">
        <f t="shared" si="36"/>
        <v>0</v>
      </c>
      <c r="R221" s="3">
        <f t="shared" si="42"/>
        <v>0</v>
      </c>
      <c r="T221" s="5">
        <f>+R221*(assessment!$J$272*assessment!$E$3)</f>
        <v>0</v>
      </c>
      <c r="V221" s="6">
        <f>+T221/payroll!F221</f>
        <v>0</v>
      </c>
      <c r="X221" s="5">
        <f>IF(V221&lt;$X$2,T221, +payroll!F221 * $X$2)</f>
        <v>0</v>
      </c>
      <c r="Z221" s="5">
        <f t="shared" si="37"/>
        <v>0</v>
      </c>
      <c r="AB221" t="e">
        <f t="shared" si="38"/>
        <v>#DIV/0!</v>
      </c>
    </row>
    <row r="222" spans="1:28" outlineLevel="1">
      <c r="A222" t="s">
        <v>366</v>
      </c>
      <c r="B222" t="s">
        <v>367</v>
      </c>
      <c r="D222" s="42">
        <v>0</v>
      </c>
      <c r="E222" s="42">
        <v>0</v>
      </c>
      <c r="F222" s="42">
        <v>0</v>
      </c>
      <c r="G222">
        <f t="shared" si="35"/>
        <v>0</v>
      </c>
      <c r="I222" s="22">
        <f t="shared" si="39"/>
        <v>0</v>
      </c>
      <c r="J222" s="6">
        <f>+IFR!AD222</f>
        <v>0</v>
      </c>
      <c r="K222" s="14">
        <f t="shared" si="41"/>
        <v>0.95</v>
      </c>
      <c r="L222" s="22">
        <f t="shared" si="40"/>
        <v>0</v>
      </c>
      <c r="M222" s="14">
        <v>1</v>
      </c>
      <c r="N222" s="14">
        <v>1</v>
      </c>
      <c r="P222" s="22">
        <f t="shared" si="36"/>
        <v>0</v>
      </c>
      <c r="R222" s="3">
        <f t="shared" si="42"/>
        <v>0</v>
      </c>
      <c r="T222" s="5">
        <f>+R222*(assessment!$J$272*assessment!$E$3)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37"/>
        <v>0</v>
      </c>
      <c r="AB222" t="e">
        <f t="shared" si="38"/>
        <v>#DIV/0!</v>
      </c>
    </row>
    <row r="223" spans="1:28" outlineLevel="1">
      <c r="A223" t="s">
        <v>368</v>
      </c>
      <c r="B223" t="s">
        <v>369</v>
      </c>
      <c r="D223" s="42">
        <v>0</v>
      </c>
      <c r="E223" s="42">
        <v>0</v>
      </c>
      <c r="F223" s="42">
        <v>0</v>
      </c>
      <c r="G223">
        <f t="shared" si="35"/>
        <v>0</v>
      </c>
      <c r="I223" s="22">
        <f t="shared" si="39"/>
        <v>0</v>
      </c>
      <c r="J223" s="6">
        <f>+IFR!AD223</f>
        <v>0</v>
      </c>
      <c r="K223" s="14">
        <f t="shared" si="41"/>
        <v>0.95</v>
      </c>
      <c r="L223" s="22">
        <f t="shared" si="40"/>
        <v>0</v>
      </c>
      <c r="M223" s="14">
        <v>1</v>
      </c>
      <c r="N223" s="14">
        <v>1</v>
      </c>
      <c r="P223" s="22">
        <f t="shared" si="36"/>
        <v>0</v>
      </c>
      <c r="R223" s="3">
        <f t="shared" si="42"/>
        <v>0</v>
      </c>
      <c r="T223" s="5">
        <f>+R223*(assessment!$J$272*assessment!$E$3)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37"/>
        <v>0</v>
      </c>
      <c r="AB223" t="e">
        <f t="shared" si="38"/>
        <v>#DIV/0!</v>
      </c>
    </row>
    <row r="224" spans="1:28" outlineLevel="1">
      <c r="A224" t="s">
        <v>370</v>
      </c>
      <c r="B224" t="s">
        <v>371</v>
      </c>
      <c r="D224" s="42">
        <v>9</v>
      </c>
      <c r="E224" s="42">
        <v>4</v>
      </c>
      <c r="F224" s="42">
        <v>2</v>
      </c>
      <c r="G224">
        <f t="shared" si="35"/>
        <v>15</v>
      </c>
      <c r="I224" s="22">
        <f t="shared" si="39"/>
        <v>5</v>
      </c>
      <c r="J224" s="6">
        <f>+IFR!AD224</f>
        <v>2.2463020295837632E-2</v>
      </c>
      <c r="K224" s="14">
        <f t="shared" si="41"/>
        <v>0.95</v>
      </c>
      <c r="L224" s="22">
        <f t="shared" si="40"/>
        <v>4.75</v>
      </c>
      <c r="M224" s="14">
        <v>1</v>
      </c>
      <c r="N224" s="14">
        <v>1</v>
      </c>
      <c r="P224" s="22">
        <f t="shared" si="36"/>
        <v>4.75</v>
      </c>
      <c r="R224" s="3">
        <f t="shared" si="42"/>
        <v>7.4226675243971405E-4</v>
      </c>
      <c r="T224" s="5">
        <f>+R224*(assessment!$J$272*assessment!$E$3)</f>
        <v>5742.869042143825</v>
      </c>
      <c r="V224" s="6">
        <f>+T224/payroll!F224</f>
        <v>9.3577486013037827E-4</v>
      </c>
      <c r="X224" s="5">
        <f>IF(V224&lt;$X$2,T224, +payroll!F224 * $X$2)</f>
        <v>5742.869042143825</v>
      </c>
      <c r="Z224" s="5">
        <f t="shared" si="37"/>
        <v>0</v>
      </c>
      <c r="AB224">
        <f t="shared" si="38"/>
        <v>1</v>
      </c>
    </row>
    <row r="225" spans="1:28" outlineLevel="1">
      <c r="A225" t="s">
        <v>372</v>
      </c>
      <c r="B225" t="s">
        <v>373</v>
      </c>
      <c r="D225" s="42">
        <v>0</v>
      </c>
      <c r="E225" s="42">
        <v>1</v>
      </c>
      <c r="F225" s="42">
        <v>0</v>
      </c>
      <c r="G225">
        <f t="shared" si="35"/>
        <v>1</v>
      </c>
      <c r="I225" s="22">
        <f t="shared" si="39"/>
        <v>0.33333333333333331</v>
      </c>
      <c r="J225" s="6">
        <f>+IFR!AD225</f>
        <v>3.3333333333333335E-3</v>
      </c>
      <c r="K225" s="14">
        <f t="shared" si="41"/>
        <v>0.95</v>
      </c>
      <c r="L225" s="22">
        <f t="shared" si="40"/>
        <v>0.31666666666666665</v>
      </c>
      <c r="M225" s="14">
        <v>1</v>
      </c>
      <c r="N225" s="14">
        <v>1</v>
      </c>
      <c r="P225" s="22">
        <f t="shared" si="36"/>
        <v>0.31666666666666665</v>
      </c>
      <c r="R225" s="3">
        <f t="shared" si="42"/>
        <v>4.9484450162647599E-5</v>
      </c>
      <c r="T225" s="5">
        <f>+R225*(assessment!$J$272*assessment!$E$3)</f>
        <v>382.85793614292163</v>
      </c>
      <c r="V225" s="6">
        <f>+T225/payroll!F225</f>
        <v>3.9977880896376598E-4</v>
      </c>
      <c r="X225" s="5">
        <f>IF(V225&lt;$X$2,T225, +payroll!F225 * $X$2)</f>
        <v>382.85793614292163</v>
      </c>
      <c r="Z225" s="5">
        <f t="shared" si="37"/>
        <v>0</v>
      </c>
      <c r="AB225">
        <f t="shared" si="38"/>
        <v>1</v>
      </c>
    </row>
    <row r="226" spans="1:28" outlineLevel="1">
      <c r="A226" t="s">
        <v>374</v>
      </c>
      <c r="B226" t="s">
        <v>375</v>
      </c>
      <c r="D226" s="42">
        <v>0</v>
      </c>
      <c r="E226" s="42">
        <v>0</v>
      </c>
      <c r="F226" s="42">
        <v>0</v>
      </c>
      <c r="G226">
        <f t="shared" si="35"/>
        <v>0</v>
      </c>
      <c r="I226" s="22">
        <f t="shared" si="39"/>
        <v>0</v>
      </c>
      <c r="J226" s="6">
        <f>+IFR!AD226</f>
        <v>0</v>
      </c>
      <c r="K226" s="14">
        <f t="shared" si="41"/>
        <v>0.95</v>
      </c>
      <c r="L226" s="22">
        <f t="shared" si="40"/>
        <v>0</v>
      </c>
      <c r="M226" s="14">
        <v>1</v>
      </c>
      <c r="N226" s="14">
        <v>1</v>
      </c>
      <c r="P226" s="22">
        <f t="shared" si="36"/>
        <v>0</v>
      </c>
      <c r="R226" s="3">
        <f t="shared" si="42"/>
        <v>0</v>
      </c>
      <c r="T226" s="5">
        <f>+R226*(assessment!$J$272*assessment!$E$3)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37"/>
        <v>0</v>
      </c>
      <c r="AB226" t="e">
        <f t="shared" si="38"/>
        <v>#DIV/0!</v>
      </c>
    </row>
    <row r="227" spans="1:28" outlineLevel="1">
      <c r="A227" t="s">
        <v>376</v>
      </c>
      <c r="B227" t="s">
        <v>377</v>
      </c>
      <c r="D227" s="42">
        <v>0</v>
      </c>
      <c r="E227" s="42">
        <v>0</v>
      </c>
      <c r="F227" s="42">
        <v>0</v>
      </c>
      <c r="G227">
        <f t="shared" si="35"/>
        <v>0</v>
      </c>
      <c r="I227" s="22">
        <f t="shared" si="39"/>
        <v>0</v>
      </c>
      <c r="J227" s="6">
        <f>+IFR!AD227</f>
        <v>0</v>
      </c>
      <c r="K227" s="14">
        <f t="shared" si="41"/>
        <v>0.95</v>
      </c>
      <c r="L227" s="22">
        <f t="shared" si="40"/>
        <v>0</v>
      </c>
      <c r="M227" s="14">
        <v>1</v>
      </c>
      <c r="N227" s="14">
        <v>1</v>
      </c>
      <c r="P227" s="22">
        <f t="shared" si="36"/>
        <v>0</v>
      </c>
      <c r="R227" s="3">
        <f t="shared" si="42"/>
        <v>0</v>
      </c>
      <c r="T227" s="5">
        <f>+R227*(assessment!$J$272*assessment!$E$3)</f>
        <v>0</v>
      </c>
      <c r="V227" s="6">
        <f>+T227/payroll!F227</f>
        <v>0</v>
      </c>
      <c r="X227" s="5">
        <f>IF(V227&lt;$X$2,T227, +payroll!F227 * $X$2)</f>
        <v>0</v>
      </c>
      <c r="Z227" s="5">
        <f t="shared" si="37"/>
        <v>0</v>
      </c>
      <c r="AB227" t="e">
        <f t="shared" si="38"/>
        <v>#DIV/0!</v>
      </c>
    </row>
    <row r="228" spans="1:28" outlineLevel="1">
      <c r="A228" t="s">
        <v>378</v>
      </c>
      <c r="B228" t="s">
        <v>379</v>
      </c>
      <c r="D228" s="42">
        <v>0</v>
      </c>
      <c r="E228" s="42">
        <v>0</v>
      </c>
      <c r="F228" s="42">
        <v>1</v>
      </c>
      <c r="G228">
        <f t="shared" ref="G228:G261" si="43">SUM(D228:F228)</f>
        <v>1</v>
      </c>
      <c r="I228" s="22">
        <f t="shared" si="39"/>
        <v>0.33333333333333331</v>
      </c>
      <c r="J228" s="6">
        <f>+IFR!AD228</f>
        <v>5.0000000000000001E-3</v>
      </c>
      <c r="K228" s="14">
        <f t="shared" si="41"/>
        <v>0.95</v>
      </c>
      <c r="L228" s="22">
        <f t="shared" si="40"/>
        <v>0.31666666666666665</v>
      </c>
      <c r="M228" s="14">
        <v>1</v>
      </c>
      <c r="N228" s="14">
        <v>1</v>
      </c>
      <c r="P228" s="22">
        <f t="shared" ref="P228:P261" si="44">+L228*M228*N228</f>
        <v>0.31666666666666665</v>
      </c>
      <c r="R228" s="3">
        <f t="shared" ref="R228:R261" si="45">+P228/$P$264</f>
        <v>4.9484450162647599E-5</v>
      </c>
      <c r="T228" s="5">
        <f>+R228*(assessment!$J$272*assessment!$E$3)</f>
        <v>382.85793614292163</v>
      </c>
      <c r="V228" s="6">
        <f>+T228/payroll!F228</f>
        <v>2.613031541257226E-4</v>
      </c>
      <c r="X228" s="5">
        <f>IF(V228&lt;$X$2,T228, +payroll!F228 * $X$2)</f>
        <v>382.85793614292163</v>
      </c>
      <c r="Z228" s="5">
        <f t="shared" ref="Z228:Z261" si="46">+T228-X228</f>
        <v>0</v>
      </c>
      <c r="AB228">
        <f t="shared" ref="AB228:AB261" si="47">+X228/T228</f>
        <v>1</v>
      </c>
    </row>
    <row r="229" spans="1:28" outlineLevel="1">
      <c r="A229" t="s">
        <v>511</v>
      </c>
      <c r="B229" t="s">
        <v>512</v>
      </c>
      <c r="D229" s="42">
        <v>0</v>
      </c>
      <c r="E229" s="42">
        <v>0</v>
      </c>
      <c r="F229" s="42">
        <v>0</v>
      </c>
      <c r="G229">
        <f>SUM(D229:F229)</f>
        <v>0</v>
      </c>
      <c r="I229" s="22">
        <f>AVERAGE(D229:F229)</f>
        <v>0</v>
      </c>
      <c r="J229" s="6">
        <f>+IFR!AD229</f>
        <v>0</v>
      </c>
      <c r="K229" s="14">
        <f t="shared" si="41"/>
        <v>0.95</v>
      </c>
      <c r="L229" s="22">
        <f>+I229*K229</f>
        <v>0</v>
      </c>
      <c r="M229" s="14">
        <v>1</v>
      </c>
      <c r="N229" s="14">
        <v>1</v>
      </c>
      <c r="P229" s="22">
        <f>+L229*M229*N229</f>
        <v>0</v>
      </c>
      <c r="R229" s="3">
        <f>+P229/$P$264</f>
        <v>0</v>
      </c>
      <c r="T229" s="5">
        <f>+R229*(assessment!$J$272*assessment!$E$3)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>+T229-X229</f>
        <v>0</v>
      </c>
      <c r="AB229" t="e">
        <f>+X229/T229</f>
        <v>#DIV/0!</v>
      </c>
    </row>
    <row r="230" spans="1:28" outlineLevel="1">
      <c r="A230" t="s">
        <v>380</v>
      </c>
      <c r="B230" t="s">
        <v>381</v>
      </c>
      <c r="D230" s="42">
        <v>1</v>
      </c>
      <c r="E230" s="42">
        <v>1</v>
      </c>
      <c r="F230" s="42">
        <v>1</v>
      </c>
      <c r="G230">
        <f t="shared" si="43"/>
        <v>3</v>
      </c>
      <c r="I230" s="22">
        <f t="shared" ref="I230:I261" si="48">AVERAGE(D230:F230)</f>
        <v>1</v>
      </c>
      <c r="J230" s="6">
        <f>+IFR!AD230</f>
        <v>0.01</v>
      </c>
      <c r="K230" s="14">
        <f t="shared" si="41"/>
        <v>0.95</v>
      </c>
      <c r="L230" s="22">
        <f t="shared" ref="L230:L261" si="49">+I230*K230</f>
        <v>0.95</v>
      </c>
      <c r="M230" s="14">
        <v>1</v>
      </c>
      <c r="N230" s="14">
        <v>1</v>
      </c>
      <c r="P230" s="22">
        <f t="shared" si="44"/>
        <v>0.95</v>
      </c>
      <c r="R230" s="3">
        <f t="shared" si="45"/>
        <v>1.4845335048794281E-4</v>
      </c>
      <c r="T230" s="5">
        <f>+R230*(assessment!$J$272*assessment!$E$3)</f>
        <v>1148.573808428765</v>
      </c>
      <c r="V230" s="6">
        <f>+T230/payroll!F230</f>
        <v>1.3905466018112444E-3</v>
      </c>
      <c r="X230" s="5">
        <f>IF(V230&lt;$X$2,T230, +payroll!F230 * $X$2)</f>
        <v>1148.573808428765</v>
      </c>
      <c r="Z230" s="5">
        <f t="shared" si="46"/>
        <v>0</v>
      </c>
      <c r="AB230">
        <f t="shared" si="47"/>
        <v>1</v>
      </c>
    </row>
    <row r="231" spans="1:28" outlineLevel="1">
      <c r="A231" t="s">
        <v>382</v>
      </c>
      <c r="B231" t="s">
        <v>383</v>
      </c>
      <c r="D231" s="42">
        <v>0</v>
      </c>
      <c r="E231" s="42">
        <v>1</v>
      </c>
      <c r="F231" s="42">
        <v>0</v>
      </c>
      <c r="G231">
        <f t="shared" si="43"/>
        <v>1</v>
      </c>
      <c r="I231" s="22">
        <f t="shared" si="48"/>
        <v>0.33333333333333331</v>
      </c>
      <c r="J231" s="6">
        <f>+IFR!AD231</f>
        <v>3.3333333333333335E-3</v>
      </c>
      <c r="K231" s="14">
        <f t="shared" si="41"/>
        <v>0.95</v>
      </c>
      <c r="L231" s="22">
        <f t="shared" si="49"/>
        <v>0.31666666666666665</v>
      </c>
      <c r="M231" s="14">
        <v>1</v>
      </c>
      <c r="N231" s="14">
        <v>1</v>
      </c>
      <c r="P231" s="22">
        <f t="shared" si="44"/>
        <v>0.31666666666666665</v>
      </c>
      <c r="R231" s="3">
        <f t="shared" si="45"/>
        <v>4.9484450162647599E-5</v>
      </c>
      <c r="T231" s="5">
        <f>+R231*(assessment!$J$272*assessment!$E$3)</f>
        <v>382.85793614292163</v>
      </c>
      <c r="V231" s="6">
        <f>+T231/payroll!F231</f>
        <v>4.600702392627475E-4</v>
      </c>
      <c r="X231" s="5">
        <f>IF(V231&lt;$X$2,T231, +payroll!F231 * $X$2)</f>
        <v>382.85793614292163</v>
      </c>
      <c r="Z231" s="5">
        <f t="shared" si="46"/>
        <v>0</v>
      </c>
      <c r="AB231">
        <f t="shared" si="47"/>
        <v>1</v>
      </c>
    </row>
    <row r="232" spans="1:28" outlineLevel="1">
      <c r="A232" t="s">
        <v>384</v>
      </c>
      <c r="B232" t="s">
        <v>385</v>
      </c>
      <c r="D232" s="42">
        <v>1</v>
      </c>
      <c r="E232" s="42">
        <v>0</v>
      </c>
      <c r="F232" s="42">
        <v>1</v>
      </c>
      <c r="G232">
        <f t="shared" si="43"/>
        <v>2</v>
      </c>
      <c r="I232" s="22">
        <f t="shared" si="48"/>
        <v>0.66666666666666663</v>
      </c>
      <c r="J232" s="6">
        <f>+IFR!AD232</f>
        <v>6.6666666666666671E-3</v>
      </c>
      <c r="K232" s="14">
        <f t="shared" si="41"/>
        <v>0.95</v>
      </c>
      <c r="L232" s="22">
        <f t="shared" si="49"/>
        <v>0.6333333333333333</v>
      </c>
      <c r="M232" s="14">
        <v>1</v>
      </c>
      <c r="N232" s="14">
        <v>1</v>
      </c>
      <c r="P232" s="22">
        <f t="shared" si="44"/>
        <v>0.6333333333333333</v>
      </c>
      <c r="R232" s="3">
        <f t="shared" si="45"/>
        <v>9.8968900325295198E-5</v>
      </c>
      <c r="T232" s="5">
        <f>+R232*(assessment!$J$272*assessment!$E$3)</f>
        <v>765.71587228584326</v>
      </c>
      <c r="V232" s="6">
        <f>+T232/payroll!F232</f>
        <v>2.3687245194113385E-4</v>
      </c>
      <c r="X232" s="5">
        <f>IF(V232&lt;$X$2,T232, +payroll!F232 * $X$2)</f>
        <v>765.71587228584326</v>
      </c>
      <c r="Z232" s="5">
        <f t="shared" si="46"/>
        <v>0</v>
      </c>
      <c r="AB232">
        <f t="shared" si="47"/>
        <v>1</v>
      </c>
    </row>
    <row r="233" spans="1:28" s="50" customFormat="1" outlineLevel="1">
      <c r="A233" s="52" t="s">
        <v>564</v>
      </c>
      <c r="B233" s="52" t="s">
        <v>565</v>
      </c>
      <c r="D233" s="42">
        <v>0</v>
      </c>
      <c r="E233" s="42">
        <v>0</v>
      </c>
      <c r="F233" s="42">
        <v>0</v>
      </c>
      <c r="G233" s="50">
        <f t="shared" si="43"/>
        <v>0</v>
      </c>
      <c r="I233" s="22">
        <f t="shared" si="48"/>
        <v>0</v>
      </c>
      <c r="J233" s="6">
        <f>+IFR!AD233</f>
        <v>0</v>
      </c>
      <c r="K233" s="14">
        <f t="shared" si="41"/>
        <v>0.95</v>
      </c>
      <c r="L233" s="22">
        <f t="shared" si="49"/>
        <v>0</v>
      </c>
      <c r="M233" s="14">
        <v>1</v>
      </c>
      <c r="N233" s="14"/>
      <c r="P233" s="22">
        <f t="shared" si="44"/>
        <v>0</v>
      </c>
      <c r="R233" s="3">
        <f t="shared" si="45"/>
        <v>0</v>
      </c>
      <c r="T233" s="5">
        <f>+R233*(assessment!$J$272*assessment!$E$3)</f>
        <v>0</v>
      </c>
      <c r="V233" s="6">
        <f>+T233/payroll!F233</f>
        <v>0</v>
      </c>
      <c r="X233" s="5">
        <f>IF(V233&lt;$X$2,T233, +payroll!F233 * $X$2)</f>
        <v>0</v>
      </c>
      <c r="Z233" s="5">
        <f t="shared" si="46"/>
        <v>0</v>
      </c>
      <c r="AB233" s="50" t="e">
        <f t="shared" si="47"/>
        <v>#DIV/0!</v>
      </c>
    </row>
    <row r="234" spans="1:28" outlineLevel="1">
      <c r="A234" t="s">
        <v>386</v>
      </c>
      <c r="B234" t="s">
        <v>387</v>
      </c>
      <c r="D234" s="42">
        <v>0</v>
      </c>
      <c r="E234" s="42">
        <v>0</v>
      </c>
      <c r="F234" s="42">
        <v>0</v>
      </c>
      <c r="G234">
        <f t="shared" si="43"/>
        <v>0</v>
      </c>
      <c r="I234" s="22">
        <f t="shared" si="48"/>
        <v>0</v>
      </c>
      <c r="J234" s="6">
        <f>+IFR!AD234</f>
        <v>0</v>
      </c>
      <c r="K234" s="14">
        <f t="shared" si="41"/>
        <v>0.95</v>
      </c>
      <c r="L234" s="22">
        <f t="shared" si="49"/>
        <v>0</v>
      </c>
      <c r="M234" s="14">
        <v>1</v>
      </c>
      <c r="N234" s="14">
        <v>1</v>
      </c>
      <c r="P234" s="22">
        <f t="shared" si="44"/>
        <v>0</v>
      </c>
      <c r="R234" s="3">
        <f t="shared" si="45"/>
        <v>0</v>
      </c>
      <c r="T234" s="5">
        <f>+R234*(assessment!$J$272*assessment!$E$3)</f>
        <v>0</v>
      </c>
      <c r="V234" s="6">
        <f>+T234/payroll!F234</f>
        <v>0</v>
      </c>
      <c r="X234" s="5">
        <f>IF(V234&lt;$X$2,T234, +payroll!F234 * $X$2)</f>
        <v>0</v>
      </c>
      <c r="Z234" s="5">
        <f t="shared" si="46"/>
        <v>0</v>
      </c>
      <c r="AB234" t="e">
        <f t="shared" si="47"/>
        <v>#DIV/0!</v>
      </c>
    </row>
    <row r="235" spans="1:28" outlineLevel="1">
      <c r="A235" t="s">
        <v>388</v>
      </c>
      <c r="B235" t="s">
        <v>389</v>
      </c>
      <c r="D235" s="42">
        <v>0</v>
      </c>
      <c r="E235" s="42">
        <v>0</v>
      </c>
      <c r="F235" s="42">
        <v>0</v>
      </c>
      <c r="G235">
        <f t="shared" si="43"/>
        <v>0</v>
      </c>
      <c r="I235" s="22">
        <f t="shared" si="48"/>
        <v>0</v>
      </c>
      <c r="J235" s="6">
        <f>+IFR!AD235</f>
        <v>0</v>
      </c>
      <c r="K235" s="14">
        <f t="shared" si="41"/>
        <v>0.95</v>
      </c>
      <c r="L235" s="22">
        <f t="shared" si="49"/>
        <v>0</v>
      </c>
      <c r="M235" s="14">
        <v>1</v>
      </c>
      <c r="N235" s="14">
        <v>1</v>
      </c>
      <c r="P235" s="22">
        <f t="shared" si="44"/>
        <v>0</v>
      </c>
      <c r="R235" s="3">
        <f t="shared" si="45"/>
        <v>0</v>
      </c>
      <c r="T235" s="5">
        <f>+R235*(assessment!$J$272*assessment!$E$3)</f>
        <v>0</v>
      </c>
      <c r="V235" s="6">
        <f>+T235/payroll!F235</f>
        <v>0</v>
      </c>
      <c r="X235" s="5">
        <f>IF(V235&lt;$X$2,T235, +payroll!F235 * $X$2)</f>
        <v>0</v>
      </c>
      <c r="Z235" s="5">
        <f t="shared" si="46"/>
        <v>0</v>
      </c>
      <c r="AB235" t="e">
        <f t="shared" si="47"/>
        <v>#DIV/0!</v>
      </c>
    </row>
    <row r="236" spans="1:28" outlineLevel="1">
      <c r="A236" t="s">
        <v>390</v>
      </c>
      <c r="B236" t="s">
        <v>391</v>
      </c>
      <c r="D236" s="42">
        <v>0</v>
      </c>
      <c r="E236" s="42">
        <v>0</v>
      </c>
      <c r="F236" s="42">
        <v>0</v>
      </c>
      <c r="G236">
        <f t="shared" si="43"/>
        <v>0</v>
      </c>
      <c r="I236" s="22">
        <f t="shared" si="48"/>
        <v>0</v>
      </c>
      <c r="J236" s="6">
        <f>+IFR!AD236</f>
        <v>0</v>
      </c>
      <c r="K236" s="14">
        <f t="shared" si="41"/>
        <v>0.95</v>
      </c>
      <c r="L236" s="22">
        <f t="shared" si="49"/>
        <v>0</v>
      </c>
      <c r="M236" s="14">
        <v>1</v>
      </c>
      <c r="N236" s="14">
        <v>1</v>
      </c>
      <c r="P236" s="22">
        <f t="shared" si="44"/>
        <v>0</v>
      </c>
      <c r="R236" s="3">
        <f t="shared" si="45"/>
        <v>0</v>
      </c>
      <c r="T236" s="5">
        <f>+R236*(assessment!$J$272*assessment!$E$3)</f>
        <v>0</v>
      </c>
      <c r="V236" s="6">
        <f>+T236/payroll!F236</f>
        <v>0</v>
      </c>
      <c r="X236" s="5">
        <f>IF(V236&lt;$X$2,T236, +payroll!F236 * $X$2)</f>
        <v>0</v>
      </c>
      <c r="Z236" s="5">
        <f t="shared" si="46"/>
        <v>0</v>
      </c>
      <c r="AB236" t="e">
        <f t="shared" si="47"/>
        <v>#DIV/0!</v>
      </c>
    </row>
    <row r="237" spans="1:28" outlineLevel="1">
      <c r="A237" t="s">
        <v>392</v>
      </c>
      <c r="B237" t="s">
        <v>393</v>
      </c>
      <c r="D237" s="42">
        <v>6</v>
      </c>
      <c r="E237" s="42">
        <v>7</v>
      </c>
      <c r="F237" s="42">
        <v>4</v>
      </c>
      <c r="G237">
        <f t="shared" si="43"/>
        <v>17</v>
      </c>
      <c r="I237" s="22">
        <f t="shared" si="48"/>
        <v>5.666666666666667</v>
      </c>
      <c r="J237" s="6">
        <f>+IFR!AD237</f>
        <v>5.3333333333333337E-2</v>
      </c>
      <c r="K237" s="14">
        <f t="shared" si="41"/>
        <v>1</v>
      </c>
      <c r="L237" s="22">
        <f t="shared" si="49"/>
        <v>5.666666666666667</v>
      </c>
      <c r="M237" s="14">
        <v>1</v>
      </c>
      <c r="N237" s="14">
        <v>1</v>
      </c>
      <c r="P237" s="22">
        <f>+L237*M237*N237</f>
        <v>5.666666666666667</v>
      </c>
      <c r="R237" s="3">
        <f t="shared" si="45"/>
        <v>8.8551121343685192E-4</v>
      </c>
      <c r="T237" s="5">
        <f>+R237*(assessment!$J$272*assessment!$E$3)</f>
        <v>6851.1420151891252</v>
      </c>
      <c r="V237" s="6">
        <f>+T237/payroll!F237</f>
        <v>3.2012588640017974E-3</v>
      </c>
      <c r="X237" s="5">
        <f>IF(V237&lt;$X$2,T237, +payroll!F237 * $X$2)</f>
        <v>6851.1420151891252</v>
      </c>
      <c r="Z237" s="5">
        <f t="shared" si="46"/>
        <v>0</v>
      </c>
      <c r="AB237">
        <f t="shared" si="47"/>
        <v>1</v>
      </c>
    </row>
    <row r="238" spans="1:28" outlineLevel="1">
      <c r="A238" t="s">
        <v>394</v>
      </c>
      <c r="B238" t="s">
        <v>395</v>
      </c>
      <c r="D238" s="42">
        <v>0</v>
      </c>
      <c r="E238" s="42">
        <v>0</v>
      </c>
      <c r="F238" s="42">
        <v>0</v>
      </c>
      <c r="G238">
        <f t="shared" si="43"/>
        <v>0</v>
      </c>
      <c r="I238" s="22">
        <f t="shared" si="48"/>
        <v>0</v>
      </c>
      <c r="J238" s="6">
        <f>+IFR!AD238</f>
        <v>0</v>
      </c>
      <c r="K238" s="14">
        <f t="shared" si="41"/>
        <v>0.95</v>
      </c>
      <c r="L238" s="22">
        <f t="shared" si="49"/>
        <v>0</v>
      </c>
      <c r="M238" s="14">
        <v>1</v>
      </c>
      <c r="N238" s="14">
        <v>1</v>
      </c>
      <c r="P238" s="22">
        <f t="shared" si="44"/>
        <v>0</v>
      </c>
      <c r="R238" s="3">
        <f t="shared" si="45"/>
        <v>0</v>
      </c>
      <c r="T238" s="5">
        <f>+R238*(assessment!$J$272*assessment!$E$3)</f>
        <v>0</v>
      </c>
      <c r="V238" s="6">
        <f>+T238/payroll!F238</f>
        <v>0</v>
      </c>
      <c r="X238" s="5">
        <f>IF(V238&lt;$X$2,T238, +payroll!F238 * $X$2)</f>
        <v>0</v>
      </c>
      <c r="Z238" s="5">
        <f t="shared" si="46"/>
        <v>0</v>
      </c>
      <c r="AB238" t="e">
        <f t="shared" si="47"/>
        <v>#DIV/0!</v>
      </c>
    </row>
    <row r="239" spans="1:28" outlineLevel="1">
      <c r="A239" t="s">
        <v>396</v>
      </c>
      <c r="B239" t="s">
        <v>397</v>
      </c>
      <c r="D239" s="42">
        <v>3</v>
      </c>
      <c r="E239" s="42">
        <v>1</v>
      </c>
      <c r="F239" s="42">
        <v>1</v>
      </c>
      <c r="G239">
        <f t="shared" si="43"/>
        <v>5</v>
      </c>
      <c r="I239" s="22">
        <f t="shared" si="48"/>
        <v>1.6666666666666667</v>
      </c>
      <c r="J239" s="6">
        <f>+IFR!AD239</f>
        <v>1.3333333333333334E-2</v>
      </c>
      <c r="K239" s="14">
        <f t="shared" si="41"/>
        <v>0.95</v>
      </c>
      <c r="L239" s="22">
        <f t="shared" si="49"/>
        <v>1.5833333333333333</v>
      </c>
      <c r="M239" s="14">
        <v>1</v>
      </c>
      <c r="N239" s="14">
        <v>1</v>
      </c>
      <c r="P239" s="22">
        <f t="shared" si="44"/>
        <v>1.5833333333333333</v>
      </c>
      <c r="R239" s="3">
        <f t="shared" si="45"/>
        <v>2.4742225081323798E-4</v>
      </c>
      <c r="T239" s="5">
        <f>+R239*(assessment!$J$272*assessment!$E$3)</f>
        <v>1914.289680714608</v>
      </c>
      <c r="V239" s="6">
        <f>+T239/payroll!F239</f>
        <v>7.9237943897276478E-4</v>
      </c>
      <c r="X239" s="5">
        <f>IF(V239&lt;$X$2,T239, +payroll!F239 * $X$2)</f>
        <v>1914.289680714608</v>
      </c>
      <c r="Z239" s="5">
        <f t="shared" si="46"/>
        <v>0</v>
      </c>
      <c r="AB239">
        <f t="shared" si="47"/>
        <v>1</v>
      </c>
    </row>
    <row r="240" spans="1:28" outlineLevel="1">
      <c r="A240" t="s">
        <v>398</v>
      </c>
      <c r="B240" t="s">
        <v>399</v>
      </c>
      <c r="D240" s="42">
        <v>0</v>
      </c>
      <c r="E240" s="42">
        <v>0</v>
      </c>
      <c r="F240" s="42">
        <v>0</v>
      </c>
      <c r="G240">
        <f t="shared" si="43"/>
        <v>0</v>
      </c>
      <c r="I240" s="22">
        <f t="shared" si="48"/>
        <v>0</v>
      </c>
      <c r="J240" s="6">
        <f>+IFR!AD240</f>
        <v>0</v>
      </c>
      <c r="K240" s="14">
        <f t="shared" si="41"/>
        <v>0.95</v>
      </c>
      <c r="L240" s="22">
        <f t="shared" si="49"/>
        <v>0</v>
      </c>
      <c r="M240" s="14">
        <v>1</v>
      </c>
      <c r="N240" s="14">
        <v>1</v>
      </c>
      <c r="P240" s="22">
        <f t="shared" si="44"/>
        <v>0</v>
      </c>
      <c r="R240" s="3">
        <f t="shared" si="45"/>
        <v>0</v>
      </c>
      <c r="T240" s="5">
        <f>+R240*(assessment!$J$272*assessment!$E$3)</f>
        <v>0</v>
      </c>
      <c r="V240" s="6">
        <f>+T240/payroll!F240</f>
        <v>0</v>
      </c>
      <c r="X240" s="5">
        <f>IF(V240&lt;$X$2,T240, +payroll!F240 * $X$2)</f>
        <v>0</v>
      </c>
      <c r="Z240" s="5">
        <f t="shared" si="46"/>
        <v>0</v>
      </c>
      <c r="AB240" t="e">
        <f t="shared" si="47"/>
        <v>#DIV/0!</v>
      </c>
    </row>
    <row r="241" spans="1:28" outlineLevel="1">
      <c r="A241" t="s">
        <v>400</v>
      </c>
      <c r="B241" t="s">
        <v>401</v>
      </c>
      <c r="D241" s="42">
        <v>12</v>
      </c>
      <c r="E241" s="42">
        <v>4</v>
      </c>
      <c r="F241" s="42">
        <v>9</v>
      </c>
      <c r="G241">
        <f t="shared" si="43"/>
        <v>25</v>
      </c>
      <c r="I241" s="22">
        <f t="shared" si="48"/>
        <v>8.3333333333333339</v>
      </c>
      <c r="J241" s="6">
        <f>+IFR!AD241</f>
        <v>2.2931354505171971E-2</v>
      </c>
      <c r="K241" s="14">
        <f t="shared" si="41"/>
        <v>0.95</v>
      </c>
      <c r="L241" s="22">
        <f t="shared" si="49"/>
        <v>7.916666666666667</v>
      </c>
      <c r="M241" s="14">
        <v>1</v>
      </c>
      <c r="N241" s="14">
        <v>1</v>
      </c>
      <c r="P241" s="22">
        <f t="shared" si="44"/>
        <v>7.916666666666667</v>
      </c>
      <c r="R241" s="3">
        <f t="shared" si="45"/>
        <v>1.2371112540661901E-3</v>
      </c>
      <c r="T241" s="5">
        <f>+R241*(assessment!$J$272*assessment!$E$3)</f>
        <v>9571.448403573042</v>
      </c>
      <c r="V241" s="6">
        <f>+T241/payroll!F241</f>
        <v>6.0826382296838674E-4</v>
      </c>
      <c r="X241" s="5">
        <f>IF(V241&lt;$X$2,T241, +payroll!F241 * $X$2)</f>
        <v>9571.448403573042</v>
      </c>
      <c r="Z241" s="5">
        <f t="shared" si="46"/>
        <v>0</v>
      </c>
      <c r="AB241">
        <f t="shared" si="47"/>
        <v>1</v>
      </c>
    </row>
    <row r="242" spans="1:28" outlineLevel="1">
      <c r="A242" t="s">
        <v>402</v>
      </c>
      <c r="B242" t="s">
        <v>403</v>
      </c>
      <c r="D242" s="42">
        <v>3</v>
      </c>
      <c r="E242" s="42">
        <v>1</v>
      </c>
      <c r="F242" s="42">
        <v>0</v>
      </c>
      <c r="G242">
        <f t="shared" si="43"/>
        <v>4</v>
      </c>
      <c r="I242" s="22">
        <f t="shared" si="48"/>
        <v>1.3333333333333333</v>
      </c>
      <c r="J242" s="6">
        <f>+IFR!AD242</f>
        <v>8.3333333333333332E-3</v>
      </c>
      <c r="K242" s="14">
        <f t="shared" si="41"/>
        <v>0.95</v>
      </c>
      <c r="L242" s="22">
        <f t="shared" si="49"/>
        <v>1.2666666666666666</v>
      </c>
      <c r="M242" s="14">
        <v>1</v>
      </c>
      <c r="N242" s="14">
        <v>1</v>
      </c>
      <c r="P242" s="22">
        <f t="shared" si="44"/>
        <v>1.2666666666666666</v>
      </c>
      <c r="R242" s="3">
        <f t="shared" si="45"/>
        <v>1.979378006505904E-4</v>
      </c>
      <c r="T242" s="5">
        <f>+R242*(assessment!$J$272*assessment!$E$3)</f>
        <v>1531.4317445716865</v>
      </c>
      <c r="V242" s="6">
        <f>+T242/payroll!F242</f>
        <v>4.0089925882734733E-4</v>
      </c>
      <c r="X242" s="5">
        <f>IF(V242&lt;$X$2,T242, +payroll!F242 * $X$2)</f>
        <v>1531.4317445716865</v>
      </c>
      <c r="Z242" s="5">
        <f t="shared" si="46"/>
        <v>0</v>
      </c>
      <c r="AB242">
        <f t="shared" si="47"/>
        <v>1</v>
      </c>
    </row>
    <row r="243" spans="1:28" outlineLevel="1">
      <c r="A243" t="s">
        <v>404</v>
      </c>
      <c r="B243" t="s">
        <v>405</v>
      </c>
      <c r="D243" s="42">
        <v>0</v>
      </c>
      <c r="E243" s="42">
        <v>0</v>
      </c>
      <c r="F243" s="42">
        <v>1</v>
      </c>
      <c r="G243">
        <f t="shared" si="43"/>
        <v>1</v>
      </c>
      <c r="I243" s="22">
        <f t="shared" si="48"/>
        <v>0.33333333333333331</v>
      </c>
      <c r="J243" s="6">
        <f>+IFR!AD243</f>
        <v>5.0000000000000001E-3</v>
      </c>
      <c r="K243" s="14">
        <f t="shared" si="41"/>
        <v>0.95</v>
      </c>
      <c r="L243" s="22">
        <f t="shared" si="49"/>
        <v>0.31666666666666665</v>
      </c>
      <c r="M243" s="14">
        <v>1</v>
      </c>
      <c r="N243" s="14">
        <v>1</v>
      </c>
      <c r="P243" s="22">
        <f t="shared" si="44"/>
        <v>0.31666666666666665</v>
      </c>
      <c r="R243" s="3">
        <f t="shared" si="45"/>
        <v>4.9484450162647599E-5</v>
      </c>
      <c r="T243" s="5">
        <f>+R243*(assessment!$J$272*assessment!$E$3)</f>
        <v>382.85793614292163</v>
      </c>
      <c r="V243" s="6">
        <f>+T243/payroll!F243</f>
        <v>4.0947464777696781E-4</v>
      </c>
      <c r="X243" s="5">
        <f>IF(V243&lt;$X$2,T243, +payroll!F243 * $X$2)</f>
        <v>382.85793614292163</v>
      </c>
      <c r="Z243" s="5">
        <f t="shared" si="46"/>
        <v>0</v>
      </c>
      <c r="AB243">
        <f t="shared" si="47"/>
        <v>1</v>
      </c>
    </row>
    <row r="244" spans="1:28" outlineLevel="1">
      <c r="A244" t="s">
        <v>406</v>
      </c>
      <c r="B244" t="s">
        <v>407</v>
      </c>
      <c r="D244" s="42">
        <v>2</v>
      </c>
      <c r="E244" s="42">
        <v>5</v>
      </c>
      <c r="F244" s="42">
        <v>6</v>
      </c>
      <c r="G244">
        <f t="shared" si="43"/>
        <v>13</v>
      </c>
      <c r="I244" s="22">
        <f t="shared" si="48"/>
        <v>4.333333333333333</v>
      </c>
      <c r="J244" s="6">
        <f>+IFR!AD244</f>
        <v>2.624010159868519E-2</v>
      </c>
      <c r="K244" s="14">
        <f t="shared" si="41"/>
        <v>0.95</v>
      </c>
      <c r="L244" s="22">
        <f t="shared" si="49"/>
        <v>4.1166666666666663</v>
      </c>
      <c r="M244" s="14">
        <v>1</v>
      </c>
      <c r="N244" s="14">
        <v>1</v>
      </c>
      <c r="P244" s="22">
        <f t="shared" si="44"/>
        <v>4.1166666666666663</v>
      </c>
      <c r="R244" s="3">
        <f t="shared" si="45"/>
        <v>6.4329785211441877E-4</v>
      </c>
      <c r="T244" s="5">
        <f>+R244*(assessment!$J$272*assessment!$E$3)</f>
        <v>4977.1531698579811</v>
      </c>
      <c r="V244" s="6">
        <f>+T244/payroll!F244</f>
        <v>8.1241296053741619E-4</v>
      </c>
      <c r="X244" s="5">
        <f>IF(V244&lt;$X$2,T244, +payroll!F244 * $X$2)</f>
        <v>4977.1531698579811</v>
      </c>
      <c r="Z244" s="5">
        <f t="shared" si="46"/>
        <v>0</v>
      </c>
      <c r="AB244">
        <f t="shared" si="47"/>
        <v>1</v>
      </c>
    </row>
    <row r="245" spans="1:28" outlineLevel="1">
      <c r="A245" t="s">
        <v>408</v>
      </c>
      <c r="B245" t="s">
        <v>409</v>
      </c>
      <c r="D245" s="42">
        <v>0</v>
      </c>
      <c r="E245" s="42">
        <v>0</v>
      </c>
      <c r="F245" s="42">
        <v>3</v>
      </c>
      <c r="G245">
        <f t="shared" si="43"/>
        <v>3</v>
      </c>
      <c r="I245" s="22">
        <f t="shared" si="48"/>
        <v>1</v>
      </c>
      <c r="J245" s="6">
        <f>+IFR!AD245</f>
        <v>5.7803468208092483E-3</v>
      </c>
      <c r="K245" s="14">
        <f t="shared" si="41"/>
        <v>0.95</v>
      </c>
      <c r="L245" s="22">
        <f t="shared" si="49"/>
        <v>0.95</v>
      </c>
      <c r="M245" s="14">
        <v>1</v>
      </c>
      <c r="N245" s="14">
        <v>1</v>
      </c>
      <c r="P245" s="22">
        <f t="shared" si="44"/>
        <v>0.95</v>
      </c>
      <c r="R245" s="3">
        <f t="shared" si="45"/>
        <v>1.4845335048794281E-4</v>
      </c>
      <c r="T245" s="5">
        <f>+R245*(assessment!$J$272*assessment!$E$3)</f>
        <v>1148.573808428765</v>
      </c>
      <c r="V245" s="6">
        <f>+T245/payroll!F245</f>
        <v>9.9829499715311485E-5</v>
      </c>
      <c r="X245" s="5">
        <f>IF(V245&lt;$X$2,T245, +payroll!F245 * $X$2)</f>
        <v>1148.573808428765</v>
      </c>
      <c r="Z245" s="5">
        <f t="shared" si="46"/>
        <v>0</v>
      </c>
      <c r="AB245">
        <f t="shared" si="47"/>
        <v>1</v>
      </c>
    </row>
    <row r="246" spans="1:28" outlineLevel="1">
      <c r="A246" t="s">
        <v>410</v>
      </c>
      <c r="B246" t="s">
        <v>411</v>
      </c>
      <c r="D246" s="42">
        <v>0</v>
      </c>
      <c r="E246" s="42">
        <v>0</v>
      </c>
      <c r="F246" s="42">
        <v>0</v>
      </c>
      <c r="G246">
        <f t="shared" si="43"/>
        <v>0</v>
      </c>
      <c r="I246" s="22">
        <f t="shared" si="48"/>
        <v>0</v>
      </c>
      <c r="J246" s="6">
        <f>+IFR!AD246</f>
        <v>0</v>
      </c>
      <c r="K246" s="14">
        <f t="shared" si="41"/>
        <v>0.95</v>
      </c>
      <c r="L246" s="22">
        <f t="shared" si="49"/>
        <v>0</v>
      </c>
      <c r="M246" s="14">
        <v>1</v>
      </c>
      <c r="N246" s="14">
        <v>1</v>
      </c>
      <c r="P246" s="22">
        <f t="shared" si="44"/>
        <v>0</v>
      </c>
      <c r="R246" s="3">
        <f t="shared" si="45"/>
        <v>0</v>
      </c>
      <c r="T246" s="5">
        <f>+R246*(assessment!$J$272*assessment!$E$3)</f>
        <v>0</v>
      </c>
      <c r="V246" s="6">
        <f>+T246/payroll!F246</f>
        <v>0</v>
      </c>
      <c r="X246" s="5">
        <f>IF(V246&lt;$X$2,T246, +payroll!F246 * $X$2)</f>
        <v>0</v>
      </c>
      <c r="Z246" s="5">
        <f t="shared" si="46"/>
        <v>0</v>
      </c>
      <c r="AB246" t="e">
        <f t="shared" si="47"/>
        <v>#DIV/0!</v>
      </c>
    </row>
    <row r="247" spans="1:28" outlineLevel="1">
      <c r="A247" t="s">
        <v>412</v>
      </c>
      <c r="B247" t="s">
        <v>413</v>
      </c>
      <c r="D247" s="42">
        <v>0</v>
      </c>
      <c r="E247" s="42">
        <v>0</v>
      </c>
      <c r="F247" s="42">
        <v>0</v>
      </c>
      <c r="G247">
        <f t="shared" si="43"/>
        <v>0</v>
      </c>
      <c r="I247" s="22">
        <f t="shared" si="48"/>
        <v>0</v>
      </c>
      <c r="J247" s="6">
        <f>+IFR!AD247</f>
        <v>0</v>
      </c>
      <c r="K247" s="14">
        <f t="shared" si="41"/>
        <v>0.95</v>
      </c>
      <c r="L247" s="22">
        <f t="shared" si="49"/>
        <v>0</v>
      </c>
      <c r="M247" s="14">
        <v>1</v>
      </c>
      <c r="N247" s="14">
        <v>1</v>
      </c>
      <c r="P247" s="22">
        <f t="shared" si="44"/>
        <v>0</v>
      </c>
      <c r="R247" s="3">
        <f t="shared" si="45"/>
        <v>0</v>
      </c>
      <c r="T247" s="5">
        <f>+R247*(assessment!$J$272*assessment!$E$3)</f>
        <v>0</v>
      </c>
      <c r="V247" s="6">
        <f>+T247/payroll!F247</f>
        <v>0</v>
      </c>
      <c r="X247" s="5">
        <f>IF(V247&lt;$X$2,T247, +payroll!F247 * $X$2)</f>
        <v>0</v>
      </c>
      <c r="Z247" s="5">
        <f t="shared" si="46"/>
        <v>0</v>
      </c>
      <c r="AB247" t="e">
        <f t="shared" si="47"/>
        <v>#DIV/0!</v>
      </c>
    </row>
    <row r="248" spans="1:28" outlineLevel="1">
      <c r="A248" t="s">
        <v>414</v>
      </c>
      <c r="B248" t="s">
        <v>415</v>
      </c>
      <c r="D248" s="42">
        <v>3</v>
      </c>
      <c r="E248" s="42">
        <v>1</v>
      </c>
      <c r="F248" s="42">
        <v>4</v>
      </c>
      <c r="G248">
        <f t="shared" si="43"/>
        <v>8</v>
      </c>
      <c r="I248" s="22">
        <f t="shared" si="48"/>
        <v>2.6666666666666665</v>
      </c>
      <c r="J248" s="6">
        <f>+IFR!AD248</f>
        <v>2.8333333333333332E-2</v>
      </c>
      <c r="K248" s="14">
        <f t="shared" si="41"/>
        <v>0.95</v>
      </c>
      <c r="L248" s="22">
        <f t="shared" si="49"/>
        <v>2.5333333333333332</v>
      </c>
      <c r="M248" s="14">
        <v>1</v>
      </c>
      <c r="N248" s="14">
        <v>1</v>
      </c>
      <c r="P248" s="22">
        <f t="shared" si="44"/>
        <v>2.5333333333333332</v>
      </c>
      <c r="R248" s="3">
        <f t="shared" si="45"/>
        <v>3.9587560130118079E-4</v>
      </c>
      <c r="T248" s="5">
        <f>+R248*(assessment!$J$272*assessment!$E$3)</f>
        <v>3062.863489143373</v>
      </c>
      <c r="V248" s="6">
        <f>+T248/payroll!F248</f>
        <v>1.6558259514022735E-3</v>
      </c>
      <c r="X248" s="5">
        <f>IF(V248&lt;$X$2,T248, +payroll!F248 * $X$2)</f>
        <v>3062.863489143373</v>
      </c>
      <c r="Z248" s="5">
        <f t="shared" si="46"/>
        <v>0</v>
      </c>
      <c r="AB248">
        <f t="shared" si="47"/>
        <v>1</v>
      </c>
    </row>
    <row r="249" spans="1:28" outlineLevel="1">
      <c r="A249" t="s">
        <v>416</v>
      </c>
      <c r="B249" t="s">
        <v>417</v>
      </c>
      <c r="D249" s="42">
        <v>0</v>
      </c>
      <c r="E249" s="42">
        <v>0</v>
      </c>
      <c r="F249" s="42">
        <v>0</v>
      </c>
      <c r="G249">
        <f t="shared" si="43"/>
        <v>0</v>
      </c>
      <c r="I249" s="22">
        <f t="shared" si="48"/>
        <v>0</v>
      </c>
      <c r="J249" s="6">
        <f>+IFR!AD249</f>
        <v>0</v>
      </c>
      <c r="K249" s="14">
        <f t="shared" si="41"/>
        <v>0.95</v>
      </c>
      <c r="L249" s="22">
        <f t="shared" si="49"/>
        <v>0</v>
      </c>
      <c r="M249" s="14">
        <v>1</v>
      </c>
      <c r="N249" s="14">
        <v>1</v>
      </c>
      <c r="P249" s="22">
        <f t="shared" si="44"/>
        <v>0</v>
      </c>
      <c r="R249" s="3">
        <f t="shared" si="45"/>
        <v>0</v>
      </c>
      <c r="T249" s="5">
        <f>+R249*(assessment!$J$272*assessment!$E$3)</f>
        <v>0</v>
      </c>
      <c r="V249" s="6">
        <f>+T249/payroll!F249</f>
        <v>0</v>
      </c>
      <c r="X249" s="5">
        <f>IF(V249&lt;$X$2,T249, +payroll!F249 * $X$2)</f>
        <v>0</v>
      </c>
      <c r="Z249" s="5">
        <f t="shared" si="46"/>
        <v>0</v>
      </c>
      <c r="AB249" t="e">
        <f t="shared" si="47"/>
        <v>#DIV/0!</v>
      </c>
    </row>
    <row r="250" spans="1:28" outlineLevel="1">
      <c r="A250" t="s">
        <v>418</v>
      </c>
      <c r="B250" t="s">
        <v>419</v>
      </c>
      <c r="D250" s="42">
        <v>0</v>
      </c>
      <c r="E250" s="42">
        <v>0</v>
      </c>
      <c r="F250" s="42">
        <v>0</v>
      </c>
      <c r="G250">
        <f t="shared" si="43"/>
        <v>0</v>
      </c>
      <c r="I250" s="22">
        <f t="shared" si="48"/>
        <v>0</v>
      </c>
      <c r="J250" s="6">
        <f>+IFR!AD250</f>
        <v>0</v>
      </c>
      <c r="K250" s="14">
        <f t="shared" si="41"/>
        <v>0.95</v>
      </c>
      <c r="L250" s="22">
        <f t="shared" si="49"/>
        <v>0</v>
      </c>
      <c r="M250" s="14">
        <v>1</v>
      </c>
      <c r="N250" s="14">
        <v>1</v>
      </c>
      <c r="P250" s="22">
        <f t="shared" si="44"/>
        <v>0</v>
      </c>
      <c r="R250" s="3">
        <f t="shared" si="45"/>
        <v>0</v>
      </c>
      <c r="T250" s="5">
        <f>+R250*(assessment!$J$272*assessment!$E$3)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46"/>
        <v>0</v>
      </c>
      <c r="AB250" t="e">
        <f t="shared" si="47"/>
        <v>#DIV/0!</v>
      </c>
    </row>
    <row r="251" spans="1:28" outlineLevel="1">
      <c r="A251" t="s">
        <v>420</v>
      </c>
      <c r="B251" t="s">
        <v>421</v>
      </c>
      <c r="D251" s="42">
        <v>1</v>
      </c>
      <c r="E251" s="42">
        <v>0</v>
      </c>
      <c r="F251" s="42">
        <v>0</v>
      </c>
      <c r="G251">
        <f t="shared" si="43"/>
        <v>1</v>
      </c>
      <c r="I251" s="22">
        <f t="shared" si="48"/>
        <v>0.33333333333333331</v>
      </c>
      <c r="J251" s="6">
        <f>+IFR!AD251</f>
        <v>1.6666666666666668E-3</v>
      </c>
      <c r="K251" s="14">
        <f t="shared" si="41"/>
        <v>0.95</v>
      </c>
      <c r="L251" s="22">
        <f t="shared" si="49"/>
        <v>0.31666666666666665</v>
      </c>
      <c r="M251" s="14">
        <v>1</v>
      </c>
      <c r="N251" s="14">
        <v>1</v>
      </c>
      <c r="P251" s="22">
        <f t="shared" si="44"/>
        <v>0.31666666666666665</v>
      </c>
      <c r="R251" s="3">
        <f t="shared" si="45"/>
        <v>4.9484450162647599E-5</v>
      </c>
      <c r="T251" s="5">
        <f>+R251*(assessment!$J$272*assessment!$E$3)</f>
        <v>382.85793614292163</v>
      </c>
      <c r="V251" s="6">
        <f>+T251/payroll!F251</f>
        <v>1.3663862985299318E-4</v>
      </c>
      <c r="X251" s="5">
        <f>IF(V251&lt;$X$2,T251, +payroll!F251 * $X$2)</f>
        <v>382.85793614292163</v>
      </c>
      <c r="Z251" s="5">
        <f t="shared" si="46"/>
        <v>0</v>
      </c>
      <c r="AB251">
        <f t="shared" si="47"/>
        <v>1</v>
      </c>
    </row>
    <row r="252" spans="1:28" outlineLevel="1">
      <c r="A252" t="s">
        <v>422</v>
      </c>
      <c r="B252" t="s">
        <v>423</v>
      </c>
      <c r="D252" s="42">
        <v>0</v>
      </c>
      <c r="E252" s="42">
        <v>0</v>
      </c>
      <c r="F252" s="42">
        <v>0</v>
      </c>
      <c r="G252">
        <f t="shared" si="43"/>
        <v>0</v>
      </c>
      <c r="I252" s="22">
        <f t="shared" si="48"/>
        <v>0</v>
      </c>
      <c r="J252" s="6">
        <f>+IFR!AD252</f>
        <v>0</v>
      </c>
      <c r="K252" s="14">
        <f t="shared" si="41"/>
        <v>0.95</v>
      </c>
      <c r="L252" s="22">
        <f t="shared" si="49"/>
        <v>0</v>
      </c>
      <c r="M252" s="14">
        <v>1</v>
      </c>
      <c r="N252" s="14">
        <v>1</v>
      </c>
      <c r="P252" s="22">
        <f t="shared" si="44"/>
        <v>0</v>
      </c>
      <c r="R252" s="3">
        <f t="shared" si="45"/>
        <v>0</v>
      </c>
      <c r="T252" s="5">
        <f>+R252*(assessment!$J$272*assessment!$E$3)</f>
        <v>0</v>
      </c>
      <c r="V252" s="6">
        <f>+T252/payroll!F252</f>
        <v>0</v>
      </c>
      <c r="X252" s="5">
        <f>IF(V252&lt;$X$2,T252, +payroll!F252 * $X$2)</f>
        <v>0</v>
      </c>
      <c r="Z252" s="5">
        <f t="shared" si="46"/>
        <v>0</v>
      </c>
      <c r="AB252" t="e">
        <f t="shared" si="47"/>
        <v>#DIV/0!</v>
      </c>
    </row>
    <row r="253" spans="1:28" outlineLevel="1">
      <c r="A253" t="s">
        <v>424</v>
      </c>
      <c r="B253" t="s">
        <v>425</v>
      </c>
      <c r="D253" s="42">
        <v>1</v>
      </c>
      <c r="E253" s="42">
        <v>2</v>
      </c>
      <c r="F253" s="42">
        <v>2</v>
      </c>
      <c r="G253">
        <f t="shared" si="43"/>
        <v>5</v>
      </c>
      <c r="I253" s="22">
        <f t="shared" si="48"/>
        <v>1.6666666666666667</v>
      </c>
      <c r="J253" s="6">
        <f>+IFR!AD253</f>
        <v>1.8333333333333333E-2</v>
      </c>
      <c r="K253" s="14">
        <f t="shared" si="41"/>
        <v>0.95</v>
      </c>
      <c r="L253" s="22">
        <f t="shared" si="49"/>
        <v>1.5833333333333333</v>
      </c>
      <c r="M253" s="14">
        <v>1</v>
      </c>
      <c r="N253" s="14">
        <v>1</v>
      </c>
      <c r="P253" s="22">
        <f t="shared" si="44"/>
        <v>1.5833333333333333</v>
      </c>
      <c r="R253" s="3">
        <f t="shared" si="45"/>
        <v>2.4742225081323798E-4</v>
      </c>
      <c r="T253" s="5">
        <f>+R253*(assessment!$J$272*assessment!$E$3)</f>
        <v>1914.289680714608</v>
      </c>
      <c r="V253" s="6">
        <f>+T253/payroll!F253</f>
        <v>9.4557002188344933E-4</v>
      </c>
      <c r="X253" s="5">
        <f>IF(V253&lt;$X$2,T253, +payroll!F253 * $X$2)</f>
        <v>1914.289680714608</v>
      </c>
      <c r="Z253" s="5">
        <f t="shared" si="46"/>
        <v>0</v>
      </c>
      <c r="AB253">
        <f t="shared" si="47"/>
        <v>1</v>
      </c>
    </row>
    <row r="254" spans="1:28" outlineLevel="1">
      <c r="A254" t="s">
        <v>426</v>
      </c>
      <c r="B254" t="s">
        <v>427</v>
      </c>
      <c r="D254" s="42">
        <v>0</v>
      </c>
      <c r="E254" s="42">
        <v>0</v>
      </c>
      <c r="F254" s="42">
        <v>0</v>
      </c>
      <c r="G254">
        <f t="shared" si="43"/>
        <v>0</v>
      </c>
      <c r="I254" s="22">
        <f t="shared" si="48"/>
        <v>0</v>
      </c>
      <c r="J254" s="6">
        <f>+IFR!AD254</f>
        <v>0</v>
      </c>
      <c r="K254" s="14">
        <f t="shared" si="41"/>
        <v>0.95</v>
      </c>
      <c r="L254" s="22">
        <f t="shared" si="49"/>
        <v>0</v>
      </c>
      <c r="M254" s="14">
        <v>1</v>
      </c>
      <c r="N254" s="14">
        <v>1</v>
      </c>
      <c r="P254" s="22">
        <f t="shared" si="44"/>
        <v>0</v>
      </c>
      <c r="R254" s="3">
        <f t="shared" si="45"/>
        <v>0</v>
      </c>
      <c r="T254" s="5">
        <f>+R254*(assessment!$J$272*assessment!$E$3)</f>
        <v>0</v>
      </c>
      <c r="V254" s="6">
        <f>+T254/payroll!F254</f>
        <v>0</v>
      </c>
      <c r="X254" s="5">
        <f>IF(V254&lt;$X$2,T254, +payroll!F254 * $X$2)</f>
        <v>0</v>
      </c>
      <c r="Z254" s="5">
        <f t="shared" si="46"/>
        <v>0</v>
      </c>
      <c r="AB254" t="e">
        <f t="shared" si="47"/>
        <v>#DIV/0!</v>
      </c>
    </row>
    <row r="255" spans="1:28" outlineLevel="1">
      <c r="A255" t="s">
        <v>428</v>
      </c>
      <c r="B255" t="s">
        <v>429</v>
      </c>
      <c r="D255" s="42">
        <v>0</v>
      </c>
      <c r="E255" s="42">
        <v>0</v>
      </c>
      <c r="F255" s="42">
        <v>2</v>
      </c>
      <c r="G255">
        <f t="shared" si="43"/>
        <v>2</v>
      </c>
      <c r="I255" s="22">
        <f t="shared" si="48"/>
        <v>0.66666666666666663</v>
      </c>
      <c r="J255" s="6">
        <f>+IFR!AD255</f>
        <v>0.01</v>
      </c>
      <c r="K255" s="14">
        <f t="shared" ref="K255:K261" si="50">IF(+J255&lt;$E$267,$I$267,IF(J255&gt;$E$269,$I$269,$I$268))</f>
        <v>0.95</v>
      </c>
      <c r="L255" s="22">
        <f t="shared" si="49"/>
        <v>0.6333333333333333</v>
      </c>
      <c r="M255" s="14">
        <v>1</v>
      </c>
      <c r="N255" s="14">
        <v>1</v>
      </c>
      <c r="P255" s="22">
        <f t="shared" si="44"/>
        <v>0.6333333333333333</v>
      </c>
      <c r="R255" s="3">
        <f t="shared" si="45"/>
        <v>9.8968900325295198E-5</v>
      </c>
      <c r="T255" s="5">
        <f>+R255*(assessment!$J$272*assessment!$E$3)</f>
        <v>765.71587228584326</v>
      </c>
      <c r="V255" s="6">
        <f>+T255/payroll!F255</f>
        <v>7.8203978280454005E-4</v>
      </c>
      <c r="X255" s="5">
        <f>IF(V255&lt;$X$2,T255, +payroll!F255 * $X$2)</f>
        <v>765.71587228584326</v>
      </c>
      <c r="Z255" s="5">
        <f t="shared" si="46"/>
        <v>0</v>
      </c>
      <c r="AB255">
        <f t="shared" si="47"/>
        <v>1</v>
      </c>
    </row>
    <row r="256" spans="1:28" outlineLevel="1">
      <c r="A256" t="s">
        <v>430</v>
      </c>
      <c r="B256" t="s">
        <v>431</v>
      </c>
      <c r="D256" s="42">
        <v>0</v>
      </c>
      <c r="E256" s="42">
        <v>0</v>
      </c>
      <c r="F256" s="42">
        <v>0</v>
      </c>
      <c r="G256">
        <f t="shared" si="43"/>
        <v>0</v>
      </c>
      <c r="I256" s="22">
        <f t="shared" si="48"/>
        <v>0</v>
      </c>
      <c r="J256" s="6">
        <f>+IFR!AD256</f>
        <v>0</v>
      </c>
      <c r="K256" s="14">
        <f t="shared" si="50"/>
        <v>0.95</v>
      </c>
      <c r="L256" s="22">
        <f t="shared" si="49"/>
        <v>0</v>
      </c>
      <c r="M256" s="14">
        <v>1</v>
      </c>
      <c r="N256" s="14">
        <v>1</v>
      </c>
      <c r="P256" s="22">
        <f t="shared" si="44"/>
        <v>0</v>
      </c>
      <c r="R256" s="3">
        <f t="shared" si="45"/>
        <v>0</v>
      </c>
      <c r="T256" s="5">
        <f>+R256*(assessment!$J$272*assessment!$E$3)</f>
        <v>0</v>
      </c>
      <c r="V256" s="6">
        <f>+T256/payroll!F256</f>
        <v>0</v>
      </c>
      <c r="X256" s="5">
        <f>IF(V256&lt;$X$2,T256, +payroll!F256 * $X$2)</f>
        <v>0</v>
      </c>
      <c r="Z256" s="5">
        <f t="shared" si="46"/>
        <v>0</v>
      </c>
      <c r="AB256" t="e">
        <f t="shared" si="47"/>
        <v>#DIV/0!</v>
      </c>
    </row>
    <row r="257" spans="1:28" outlineLevel="1">
      <c r="A257" t="s">
        <v>432</v>
      </c>
      <c r="B257" t="s">
        <v>433</v>
      </c>
      <c r="D257" s="42">
        <v>1</v>
      </c>
      <c r="E257" s="42">
        <v>1</v>
      </c>
      <c r="F257" s="42">
        <v>0</v>
      </c>
      <c r="G257">
        <f t="shared" si="43"/>
        <v>2</v>
      </c>
      <c r="I257" s="22">
        <f t="shared" si="48"/>
        <v>0.66666666666666663</v>
      </c>
      <c r="J257" s="6">
        <f>+IFR!AD257</f>
        <v>4.4183390438897047E-3</v>
      </c>
      <c r="K257" s="14">
        <f t="shared" si="50"/>
        <v>0.95</v>
      </c>
      <c r="L257" s="22">
        <f t="shared" si="49"/>
        <v>0.6333333333333333</v>
      </c>
      <c r="M257" s="14">
        <v>1</v>
      </c>
      <c r="N257" s="14">
        <v>1</v>
      </c>
      <c r="P257" s="22">
        <f t="shared" si="44"/>
        <v>0.6333333333333333</v>
      </c>
      <c r="R257" s="3">
        <f t="shared" si="45"/>
        <v>9.8968900325295198E-5</v>
      </c>
      <c r="T257" s="5">
        <f>+R257*(assessment!$J$272*assessment!$E$3)</f>
        <v>765.71587228584326</v>
      </c>
      <c r="V257" s="6">
        <f>+T257/payroll!F257</f>
        <v>1.7652993569784747E-4</v>
      </c>
      <c r="X257" s="5">
        <f>IF(V257&lt;$X$2,T257, +payroll!F257 * $X$2)</f>
        <v>765.71587228584326</v>
      </c>
      <c r="Z257" s="5">
        <f t="shared" si="46"/>
        <v>0</v>
      </c>
      <c r="AB257">
        <f t="shared" si="47"/>
        <v>1</v>
      </c>
    </row>
    <row r="258" spans="1:28" outlineLevel="1">
      <c r="A258" t="s">
        <v>434</v>
      </c>
      <c r="B258" t="s">
        <v>435</v>
      </c>
      <c r="D258" s="42">
        <v>0</v>
      </c>
      <c r="E258" s="42">
        <v>0</v>
      </c>
      <c r="F258" s="42">
        <v>0</v>
      </c>
      <c r="G258">
        <f t="shared" si="43"/>
        <v>0</v>
      </c>
      <c r="I258" s="22">
        <f t="shared" si="48"/>
        <v>0</v>
      </c>
      <c r="J258" s="6">
        <f>+IFR!AD258</f>
        <v>0</v>
      </c>
      <c r="K258" s="14">
        <f t="shared" si="50"/>
        <v>0.95</v>
      </c>
      <c r="L258" s="22">
        <f t="shared" si="49"/>
        <v>0</v>
      </c>
      <c r="M258" s="14">
        <v>1</v>
      </c>
      <c r="N258" s="14">
        <v>1</v>
      </c>
      <c r="P258" s="22">
        <f t="shared" si="44"/>
        <v>0</v>
      </c>
      <c r="R258" s="3">
        <f t="shared" si="45"/>
        <v>0</v>
      </c>
      <c r="T258" s="5">
        <f>+R258*(assessment!$J$272*assessment!$E$3)</f>
        <v>0</v>
      </c>
      <c r="V258" s="6">
        <f>+T258/payroll!F258</f>
        <v>0</v>
      </c>
      <c r="X258" s="5">
        <f>IF(V258&lt;$X$2,T258, +payroll!F258 * $X$2)</f>
        <v>0</v>
      </c>
      <c r="Z258" s="5">
        <f t="shared" si="46"/>
        <v>0</v>
      </c>
      <c r="AB258" t="e">
        <f t="shared" si="47"/>
        <v>#DIV/0!</v>
      </c>
    </row>
    <row r="259" spans="1:28" outlineLevel="1">
      <c r="A259" s="50" t="s">
        <v>569</v>
      </c>
      <c r="B259" s="50" t="s">
        <v>570</v>
      </c>
      <c r="D259" s="42">
        <v>0</v>
      </c>
      <c r="E259" s="42">
        <v>0</v>
      </c>
      <c r="F259" s="42">
        <v>1</v>
      </c>
      <c r="G259">
        <f>SUM(D259:F259)</f>
        <v>1</v>
      </c>
      <c r="I259" s="22">
        <f>AVERAGE(D259:F259)</f>
        <v>0.33333333333333331</v>
      </c>
      <c r="J259" s="6">
        <f>+IFR!AD259</f>
        <v>5.0000000000000001E-3</v>
      </c>
      <c r="K259" s="14">
        <f>IF(+J259&lt;$E$267,$I$267,IF(J259&gt;$E$269,$I$269,$I$268))</f>
        <v>0.95</v>
      </c>
      <c r="L259" s="22">
        <f>+I259*K259</f>
        <v>0.31666666666666665</v>
      </c>
      <c r="M259" s="14">
        <v>1</v>
      </c>
      <c r="N259" s="14">
        <v>1</v>
      </c>
      <c r="P259" s="22">
        <f>+L259*M259*N259</f>
        <v>0.31666666666666665</v>
      </c>
      <c r="R259" s="3">
        <f>+P259/$P$264</f>
        <v>4.9484450162647599E-5</v>
      </c>
      <c r="T259" s="5">
        <f>+R259*(assessment!$J$272*assessment!$E$3)</f>
        <v>382.85793614292163</v>
      </c>
      <c r="V259" s="6">
        <f>+T259/payroll!F259</f>
        <v>4.4834417963839448E-4</v>
      </c>
      <c r="X259" s="5">
        <f>IF(V259&lt;$X$2,T259, +payroll!F259 * $X$2)</f>
        <v>382.85793614292163</v>
      </c>
      <c r="Z259" s="5">
        <f>+T259-X259</f>
        <v>0</v>
      </c>
      <c r="AB259">
        <f>+X259/T259</f>
        <v>1</v>
      </c>
    </row>
    <row r="260" spans="1:28" outlineLevel="1">
      <c r="A260" t="s">
        <v>436</v>
      </c>
      <c r="B260" t="s">
        <v>437</v>
      </c>
      <c r="D260" s="42">
        <v>0</v>
      </c>
      <c r="E260" s="42">
        <v>0</v>
      </c>
      <c r="F260" s="42">
        <v>1</v>
      </c>
      <c r="G260">
        <f t="shared" si="43"/>
        <v>1</v>
      </c>
      <c r="I260" s="22">
        <f t="shared" si="48"/>
        <v>0.33333333333333331</v>
      </c>
      <c r="J260" s="6">
        <f>+IFR!AD260</f>
        <v>5.0000000000000001E-3</v>
      </c>
      <c r="K260" s="14">
        <f t="shared" si="50"/>
        <v>0.95</v>
      </c>
      <c r="L260" s="22">
        <f t="shared" si="49"/>
        <v>0.31666666666666665</v>
      </c>
      <c r="M260" s="14">
        <v>1</v>
      </c>
      <c r="N260" s="14">
        <v>1</v>
      </c>
      <c r="P260" s="22">
        <f t="shared" si="44"/>
        <v>0.31666666666666665</v>
      </c>
      <c r="R260" s="3">
        <f t="shared" si="45"/>
        <v>4.9484450162647599E-5</v>
      </c>
      <c r="T260" s="5">
        <f>+R260*(assessment!$J$272*assessment!$E$3)</f>
        <v>382.85793614292163</v>
      </c>
      <c r="V260" s="6">
        <f>+T260/payroll!F260</f>
        <v>1.1257509615988524E-3</v>
      </c>
      <c r="X260" s="5">
        <f>IF(V260&lt;$X$2,T260, +payroll!F260 * $X$2)</f>
        <v>382.85793614292163</v>
      </c>
      <c r="Z260" s="5">
        <f t="shared" si="46"/>
        <v>0</v>
      </c>
      <c r="AB260">
        <f t="shared" si="47"/>
        <v>1</v>
      </c>
    </row>
    <row r="261" spans="1:28" outlineLevel="1">
      <c r="A261" t="s">
        <v>438</v>
      </c>
      <c r="B261" t="s">
        <v>439</v>
      </c>
      <c r="D261" s="60">
        <v>0</v>
      </c>
      <c r="E261" s="60">
        <v>0</v>
      </c>
      <c r="F261" s="60">
        <v>0</v>
      </c>
      <c r="G261">
        <f t="shared" si="43"/>
        <v>0</v>
      </c>
      <c r="I261" s="28">
        <f t="shared" si="48"/>
        <v>0</v>
      </c>
      <c r="J261" s="26">
        <f>+IFR!AD261</f>
        <v>0</v>
      </c>
      <c r="K261" s="29">
        <f t="shared" si="50"/>
        <v>0.95</v>
      </c>
      <c r="L261" s="28">
        <f t="shared" si="49"/>
        <v>0</v>
      </c>
      <c r="M261" s="14">
        <v>1</v>
      </c>
      <c r="N261" s="14">
        <v>1</v>
      </c>
      <c r="P261" s="28">
        <f t="shared" si="44"/>
        <v>0</v>
      </c>
      <c r="R261" s="24">
        <f t="shared" si="45"/>
        <v>0</v>
      </c>
      <c r="T261" s="25">
        <f>+R261*(assessment!$J$272*assessment!$E$3)</f>
        <v>0</v>
      </c>
      <c r="V261" s="26">
        <f>+T261/payroll!F261</f>
        <v>0</v>
      </c>
      <c r="X261" s="25">
        <f>IF(V261&lt;$X$2,T261, +payroll!F261 * $X$2)</f>
        <v>0</v>
      </c>
      <c r="Z261" s="25">
        <f t="shared" si="46"/>
        <v>0</v>
      </c>
      <c r="AB261" t="e">
        <f t="shared" si="47"/>
        <v>#DIV/0!</v>
      </c>
    </row>
    <row r="262" spans="1:28">
      <c r="B262" t="s">
        <v>483</v>
      </c>
      <c r="D262" s="42">
        <f>SUBTOTAL(9,D140:D261)</f>
        <v>116</v>
      </c>
      <c r="E262" s="42">
        <f>SUBTOTAL(9,E140:E261)</f>
        <v>93</v>
      </c>
      <c r="F262" s="42">
        <f>SUBTOTAL(9,F140:F261)</f>
        <v>97</v>
      </c>
      <c r="G262">
        <f>SUBTOTAL(9,G140:G261)</f>
        <v>306</v>
      </c>
      <c r="I262" s="22">
        <f>SUBTOTAL(9,I140:I261)</f>
        <v>101.99999999999999</v>
      </c>
      <c r="J262" s="6">
        <f>+IFR!AD262</f>
        <v>1.5609723253098706E-2</v>
      </c>
      <c r="K262" s="14">
        <f>+L262/I262</f>
        <v>0.96062091503267988</v>
      </c>
      <c r="L262" s="22">
        <f>SUBTOTAL(9,L140:L261)</f>
        <v>97.983333333333334</v>
      </c>
      <c r="M262" s="14">
        <f>+P262/L262</f>
        <v>1</v>
      </c>
      <c r="N262" s="14"/>
      <c r="P262" s="22">
        <f>SUBTOTAL(9,P140:P261)</f>
        <v>97.983333333333334</v>
      </c>
      <c r="R262" s="3">
        <f>SUBTOTAL(9,R140:R261)</f>
        <v>1.5311530658221321E-2</v>
      </c>
      <c r="T262" s="5">
        <f>SUBTOTAL(9,T140:T261)</f>
        <v>118464.30560969656</v>
      </c>
      <c r="V262" s="6">
        <f>+T262/payroll!F262</f>
        <v>4.3666642016833149E-4</v>
      </c>
      <c r="X262" s="5">
        <f>SUBTOTAL(9,X140:X261)</f>
        <v>118464.30560969656</v>
      </c>
      <c r="Z262" s="5">
        <f>+T262-X262</f>
        <v>0</v>
      </c>
      <c r="AB262">
        <f>+X262/T262</f>
        <v>1</v>
      </c>
    </row>
    <row r="263" spans="1:28">
      <c r="D263" s="60"/>
      <c r="E263" s="60"/>
      <c r="F263" s="60"/>
      <c r="G263" s="5">
        <f>SUM(G4:G261)</f>
        <v>19303</v>
      </c>
      <c r="J263" s="22"/>
      <c r="Z263" s="7"/>
    </row>
    <row r="264" spans="1:28" ht="13.5" thickBot="1">
      <c r="D264" s="42">
        <f>SUBTOTAL(9,D4:D263)</f>
        <v>6450</v>
      </c>
      <c r="E264" s="42">
        <f>SUBTOTAL(9,E4:E263)</f>
        <v>6429</v>
      </c>
      <c r="F264" s="42">
        <f>SUBTOTAL(9,F4:F263)</f>
        <v>6424</v>
      </c>
      <c r="I264" s="21">
        <f>SUBTOTAL(9,I4:I263)</f>
        <v>6434.3333333333339</v>
      </c>
      <c r="J264" s="6">
        <f>+IFR!AD264</f>
        <v>3.4106824813024572E-2</v>
      </c>
      <c r="K264" s="14">
        <f>+L264/I264</f>
        <v>0.99455784075014175</v>
      </c>
      <c r="L264" s="21">
        <f>SUBTOTAL(9,L4:L263)</f>
        <v>6399.316666666663</v>
      </c>
      <c r="M264" s="14">
        <f>+P264/L264</f>
        <v>1</v>
      </c>
      <c r="N264" s="15"/>
      <c r="P264" s="21">
        <f>SUBTOTAL(9,P4:P263)</f>
        <v>6399.316666666663</v>
      </c>
      <c r="R264" s="12">
        <f>SUBTOTAL(9,R5:R263)</f>
        <v>1.0000000000000007</v>
      </c>
      <c r="T264" s="10">
        <f>SUBTOTAL(9,T5:T263)</f>
        <v>7736934.2265000073</v>
      </c>
      <c r="V264" s="6">
        <f>+T264/payroll!F264</f>
        <v>8.3097816513286117E-4</v>
      </c>
      <c r="X264" s="10">
        <f>SUBTOTAL(9,X5:X263)</f>
        <v>7736934.2265000073</v>
      </c>
      <c r="Z264" s="5">
        <f>SUBTOTAL(9,Z4:Z263)</f>
        <v>0</v>
      </c>
    </row>
    <row r="265" spans="1:28" ht="13.5" thickTop="1">
      <c r="J265" s="22"/>
    </row>
    <row r="266" spans="1:28">
      <c r="B266" s="9" t="s">
        <v>470</v>
      </c>
    </row>
    <row r="267" spans="1:28">
      <c r="B267" s="9" t="s">
        <v>471</v>
      </c>
      <c r="C267" s="32" t="s">
        <v>546</v>
      </c>
      <c r="D267" s="35" t="s">
        <v>472</v>
      </c>
      <c r="E267" s="41">
        <v>3.5000000000000003E-2</v>
      </c>
      <c r="H267" s="32" t="s">
        <v>545</v>
      </c>
      <c r="I267" s="16">
        <v>0.95</v>
      </c>
      <c r="R267"/>
      <c r="S267" s="3"/>
    </row>
    <row r="268" spans="1:28">
      <c r="B268" s="9" t="s">
        <v>473</v>
      </c>
      <c r="C268" s="32" t="s">
        <v>546</v>
      </c>
      <c r="D268" s="63" t="s">
        <v>474</v>
      </c>
      <c r="E268" s="41"/>
      <c r="H268" s="32" t="s">
        <v>545</v>
      </c>
      <c r="I268" s="16">
        <v>1</v>
      </c>
      <c r="R268"/>
      <c r="S268" s="3"/>
    </row>
    <row r="269" spans="1:28">
      <c r="B269" s="9" t="s">
        <v>475</v>
      </c>
      <c r="C269" s="32" t="s">
        <v>546</v>
      </c>
      <c r="D269" s="35" t="s">
        <v>494</v>
      </c>
      <c r="E269" s="63">
        <v>7.4999999999999997E-2</v>
      </c>
      <c r="H269" s="32" t="s">
        <v>545</v>
      </c>
      <c r="I269" s="16">
        <v>1.05</v>
      </c>
      <c r="R269"/>
      <c r="S269" s="3"/>
    </row>
    <row r="270" spans="1:28">
      <c r="T270" s="5"/>
    </row>
    <row r="272" spans="1:28">
      <c r="D272" s="52">
        <v>6450</v>
      </c>
      <c r="E272" s="52">
        <v>6429</v>
      </c>
      <c r="F272" s="52">
        <v>6424</v>
      </c>
    </row>
    <row r="273" spans="4:6">
      <c r="F273" s="64"/>
    </row>
    <row r="275" spans="4:6">
      <c r="D275" s="64"/>
      <c r="E275" s="64"/>
      <c r="F275" s="64"/>
    </row>
    <row r="276" spans="4:6">
      <c r="D276" s="64"/>
      <c r="E276" s="64"/>
      <c r="F276" s="64"/>
    </row>
  </sheetData>
  <autoFilter ref="A3:AC261"/>
  <phoneticPr fontId="8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2018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2"/>
  <sheetViews>
    <sheetView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A261" sqref="A5:XFD261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style="52" customWidth="1"/>
    <col min="5" max="5" width="14" style="52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452</v>
      </c>
      <c r="R1" s="1" t="s">
        <v>445</v>
      </c>
    </row>
    <row r="2" spans="1:24">
      <c r="A2" s="19" t="s">
        <v>460</v>
      </c>
      <c r="B2" s="19"/>
      <c r="G2" s="1" t="s">
        <v>442</v>
      </c>
      <c r="H2" s="1" t="s">
        <v>454</v>
      </c>
      <c r="J2" s="1" t="s">
        <v>443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458</v>
      </c>
      <c r="B3" s="11" t="s">
        <v>459</v>
      </c>
      <c r="C3" s="11" t="s">
        <v>567</v>
      </c>
      <c r="D3" s="11" t="s">
        <v>573</v>
      </c>
      <c r="E3" s="11" t="s">
        <v>575</v>
      </c>
      <c r="F3" s="11"/>
      <c r="G3" s="11" t="s">
        <v>453</v>
      </c>
      <c r="H3" s="11" t="s">
        <v>455</v>
      </c>
      <c r="J3" s="11" t="s">
        <v>453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450</v>
      </c>
      <c r="S3" s="11"/>
      <c r="T3" s="11" t="s">
        <v>451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515</v>
      </c>
      <c r="C5" s="40">
        <v>5418.27</v>
      </c>
      <c r="D5" s="40">
        <v>6732.36</v>
      </c>
      <c r="E5" s="40">
        <v>9062.26</v>
      </c>
      <c r="F5" s="16"/>
      <c r="G5" s="16">
        <f>IF(SUM(C5:E5)&gt;0,AVERAGE(C5:E5),0)</f>
        <v>7070.9633333333331</v>
      </c>
      <c r="H5" s="14">
        <v>1</v>
      </c>
      <c r="J5" s="16">
        <f t="shared" ref="J5:J55" si="0">+G5*H5</f>
        <v>7070.9633333333331</v>
      </c>
      <c r="L5" s="3">
        <f t="shared" ref="L5:L36" si="1">+J5/$J$264</f>
        <v>1.9168925766592426E-4</v>
      </c>
      <c r="N5" s="16">
        <f>+L5*(assessment!$J$272*assessment!$F$3)</f>
        <v>5932.3487139514664</v>
      </c>
      <c r="P5" s="6">
        <f>+N5/payroll!F5</f>
        <v>2.2943852025418201E-4</v>
      </c>
      <c r="R5" s="16">
        <f>IF(P5&lt;$R$2,N5, +payroll!F5 * $R$2)</f>
        <v>5932.3487139514664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516</v>
      </c>
      <c r="C6" s="40">
        <v>0</v>
      </c>
      <c r="D6" s="40">
        <v>0</v>
      </c>
      <c r="E6" s="40">
        <v>0</v>
      </c>
      <c r="F6" s="16"/>
      <c r="G6" s="16">
        <f t="shared" ref="G6:G69" si="4">IF(SUM(C6:E6)&gt;0,AVERAGE(C6:E6),0)</f>
        <v>0</v>
      </c>
      <c r="H6" s="14">
        <v>1</v>
      </c>
      <c r="J6" s="16">
        <f t="shared" si="0"/>
        <v>0</v>
      </c>
      <c r="L6" s="3">
        <f t="shared" si="1"/>
        <v>0</v>
      </c>
      <c r="N6" s="16">
        <f>+L6*(assessment!$J$272*assessment!$F$3)</f>
        <v>0</v>
      </c>
      <c r="P6" s="6">
        <f>+N6/payroll!F6</f>
        <v>0</v>
      </c>
      <c r="R6" s="16">
        <f>IF(P6&lt;$R$2,N6, +payroll!F6 * $R$2)</f>
        <v>0</v>
      </c>
      <c r="T6" s="5">
        <f t="shared" si="2"/>
        <v>0</v>
      </c>
      <c r="V6" t="e">
        <f t="shared" si="3"/>
        <v>#DIV/0!</v>
      </c>
    </row>
    <row r="7" spans="1:24">
      <c r="A7" t="s">
        <v>9</v>
      </c>
      <c r="B7" t="s">
        <v>10</v>
      </c>
      <c r="C7" s="40">
        <v>851.91</v>
      </c>
      <c r="D7" s="40">
        <v>1104.9100000000001</v>
      </c>
      <c r="E7" s="40">
        <v>1486.26</v>
      </c>
      <c r="F7" s="16"/>
      <c r="G7" s="16">
        <f t="shared" si="4"/>
        <v>1147.6933333333334</v>
      </c>
      <c r="H7" s="14">
        <v>1</v>
      </c>
      <c r="J7" s="16">
        <f t="shared" si="0"/>
        <v>1147.6933333333334</v>
      </c>
      <c r="L7" s="3">
        <f t="shared" si="1"/>
        <v>3.1113226405472825E-5</v>
      </c>
      <c r="N7" s="16">
        <f>+L7*(assessment!$J$272*assessment!$F$3)</f>
        <v>962.88394509338491</v>
      </c>
      <c r="P7" s="6">
        <f>+N7/payroll!F7</f>
        <v>3.7141448973864904E-5</v>
      </c>
      <c r="R7" s="16">
        <f>IF(P7&lt;$R$2,N7, +payroll!F7 * $R$2)</f>
        <v>962.88394509338491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40">
        <v>0</v>
      </c>
      <c r="D8" s="40">
        <v>3723.31</v>
      </c>
      <c r="E8" s="40">
        <v>0</v>
      </c>
      <c r="F8" s="16"/>
      <c r="G8" s="16">
        <f t="shared" si="4"/>
        <v>1241.1033333333332</v>
      </c>
      <c r="H8" s="14">
        <v>1</v>
      </c>
      <c r="J8" s="16">
        <f t="shared" si="0"/>
        <v>1241.1033333333332</v>
      </c>
      <c r="L8" s="3">
        <f t="shared" si="1"/>
        <v>3.3645511288660451E-5</v>
      </c>
      <c r="N8" s="16">
        <f>+L8*(assessment!$J$272*assessment!$F$3)</f>
        <v>1041.2524314293166</v>
      </c>
      <c r="P8" s="6">
        <f>+N8/payroll!F8</f>
        <v>7.6944341896884705E-5</v>
      </c>
      <c r="R8" s="16">
        <f>IF(P8&lt;$R$2,N8, +payroll!F8 * $R$2)</f>
        <v>1041.2524314293166</v>
      </c>
      <c r="T8" s="5">
        <f t="shared" si="2"/>
        <v>0</v>
      </c>
      <c r="V8">
        <f t="shared" si="3"/>
        <v>1</v>
      </c>
    </row>
    <row r="9" spans="1:24">
      <c r="A9" t="s">
        <v>13</v>
      </c>
      <c r="B9" t="s">
        <v>14</v>
      </c>
      <c r="C9" s="40">
        <v>542.66</v>
      </c>
      <c r="D9" s="40">
        <v>717.72</v>
      </c>
      <c r="E9" s="40">
        <v>0</v>
      </c>
      <c r="F9" s="16"/>
      <c r="G9" s="16">
        <f t="shared" si="4"/>
        <v>420.12666666666672</v>
      </c>
      <c r="H9" s="14">
        <v>1</v>
      </c>
      <c r="J9" s="16">
        <f t="shared" si="0"/>
        <v>420.12666666666672</v>
      </c>
      <c r="L9" s="3">
        <f t="shared" si="1"/>
        <v>1.1389363098426364E-5</v>
      </c>
      <c r="N9" s="16">
        <f>+L9*(assessment!$J$272*assessment!$F$3)</f>
        <v>352.47501269700405</v>
      </c>
      <c r="P9" s="6">
        <f>+N9/payroll!F9</f>
        <v>2.6159060527404689E-4</v>
      </c>
      <c r="R9" s="16">
        <f>IF(P9&lt;$R$2,N9, +payroll!F9 * $R$2)</f>
        <v>352.47501269700405</v>
      </c>
      <c r="T9" s="5">
        <f t="shared" si="2"/>
        <v>0</v>
      </c>
      <c r="V9">
        <f t="shared" si="3"/>
        <v>1</v>
      </c>
    </row>
    <row r="10" spans="1:24">
      <c r="A10" t="s">
        <v>15</v>
      </c>
      <c r="B10" t="s">
        <v>16</v>
      </c>
      <c r="C10" s="40">
        <v>0</v>
      </c>
      <c r="D10" s="40">
        <v>0</v>
      </c>
      <c r="E10" s="40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+L10*(assessment!$J$272*assessment!$F$3)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40">
        <v>0</v>
      </c>
      <c r="D11" s="40">
        <v>0</v>
      </c>
      <c r="E11" s="40">
        <v>0</v>
      </c>
      <c r="F11" s="16"/>
      <c r="G11" s="16">
        <f t="shared" si="4"/>
        <v>0</v>
      </c>
      <c r="H11" s="14">
        <v>1</v>
      </c>
      <c r="J11" s="16">
        <f t="shared" si="0"/>
        <v>0</v>
      </c>
      <c r="L11" s="3">
        <f t="shared" si="1"/>
        <v>0</v>
      </c>
      <c r="N11" s="16">
        <f>+L11*(assessment!$J$272*assessment!$F$3)</f>
        <v>0</v>
      </c>
      <c r="P11" s="6">
        <f>+N11/payroll!F11</f>
        <v>0</v>
      </c>
      <c r="R11" s="16">
        <f>IF(P11&lt;$R$2,N11, +payroll!F11 * $R$2)</f>
        <v>0</v>
      </c>
      <c r="T11" s="5">
        <f t="shared" si="2"/>
        <v>0</v>
      </c>
      <c r="V11" t="e">
        <f t="shared" si="3"/>
        <v>#DIV/0!</v>
      </c>
    </row>
    <row r="12" spans="1:24">
      <c r="A12" t="s">
        <v>19</v>
      </c>
      <c r="B12" t="s">
        <v>20</v>
      </c>
      <c r="C12" s="40">
        <v>0</v>
      </c>
      <c r="D12" s="40">
        <v>0</v>
      </c>
      <c r="E12" s="40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+L12*(assessment!$J$272*assessment!$F$3)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40">
        <v>0</v>
      </c>
      <c r="D13" s="40">
        <v>0</v>
      </c>
      <c r="E13" s="40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+L13*(assessment!$J$272*assessment!$F$3)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40">
        <v>4401.91</v>
      </c>
      <c r="D14" s="40">
        <v>5691.45</v>
      </c>
      <c r="E14" s="40">
        <v>593.78</v>
      </c>
      <c r="F14" s="16"/>
      <c r="G14" s="16">
        <f t="shared" si="4"/>
        <v>3562.3800000000006</v>
      </c>
      <c r="H14" s="14">
        <v>1</v>
      </c>
      <c r="J14" s="16">
        <f t="shared" si="0"/>
        <v>3562.3800000000006</v>
      </c>
      <c r="L14" s="3">
        <f t="shared" si="1"/>
        <v>9.6573825309602138E-5</v>
      </c>
      <c r="N14" s="16">
        <f>+L14*(assessment!$J$272*assessment!$F$3)</f>
        <v>2988.7413376875706</v>
      </c>
      <c r="P14" s="6">
        <f>+N14/payroll!F14</f>
        <v>1.8324446287105127E-4</v>
      </c>
      <c r="R14" s="16">
        <f>IF(P14&lt;$R$2,N14, +payroll!F14 * $R$2)</f>
        <v>2988.7413376875706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40">
        <v>0</v>
      </c>
      <c r="D15" s="40">
        <v>0</v>
      </c>
      <c r="E15" s="40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+L15*(assessment!$J$272*assessment!$F$3)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548</v>
      </c>
      <c r="B16" t="s">
        <v>549</v>
      </c>
      <c r="C16" s="40">
        <v>0</v>
      </c>
      <c r="D16" s="40">
        <v>0</v>
      </c>
      <c r="E16" s="40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 t="shared" si="1"/>
        <v>0</v>
      </c>
      <c r="N16" s="16">
        <f>+L16*(assessment!$J$272*assessment!$F$3)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>
      <c r="A17" t="s">
        <v>27</v>
      </c>
      <c r="B17" t="s">
        <v>517</v>
      </c>
      <c r="C17" s="40">
        <v>0</v>
      </c>
      <c r="D17" s="40">
        <v>0</v>
      </c>
      <c r="E17" s="40">
        <v>0</v>
      </c>
      <c r="F17" s="16"/>
      <c r="G17" s="16">
        <f t="shared" si="4"/>
        <v>0</v>
      </c>
      <c r="H17" s="14">
        <v>1</v>
      </c>
      <c r="J17" s="16">
        <f t="shared" si="0"/>
        <v>0</v>
      </c>
      <c r="L17" s="3">
        <f t="shared" si="1"/>
        <v>0</v>
      </c>
      <c r="N17" s="16">
        <f>+L17*(assessment!$J$272*assessment!$F$3)</f>
        <v>0</v>
      </c>
      <c r="P17" s="6">
        <f>+N17/payroll!F17</f>
        <v>0</v>
      </c>
      <c r="R17" s="16">
        <f>IF(P17&lt;$R$2,N17, +payroll!F17 * $R$2)</f>
        <v>0</v>
      </c>
      <c r="T17" s="5">
        <f t="shared" si="2"/>
        <v>0</v>
      </c>
      <c r="V17" t="e">
        <f t="shared" si="3"/>
        <v>#DIV/0!</v>
      </c>
    </row>
    <row r="18" spans="1:22">
      <c r="A18" t="s">
        <v>28</v>
      </c>
      <c r="B18" t="s">
        <v>518</v>
      </c>
      <c r="C18" s="40">
        <v>0</v>
      </c>
      <c r="D18" s="40">
        <v>614.67999999999995</v>
      </c>
      <c r="E18" s="40">
        <v>66.489999999999995</v>
      </c>
      <c r="F18" s="16"/>
      <c r="G18" s="16">
        <f t="shared" si="4"/>
        <v>227.05666666666664</v>
      </c>
      <c r="H18" s="14">
        <v>1</v>
      </c>
      <c r="J18" s="16">
        <f t="shared" si="0"/>
        <v>227.05666666666664</v>
      </c>
      <c r="L18" s="3">
        <f t="shared" si="1"/>
        <v>6.1553598611173492E-6</v>
      </c>
      <c r="N18" s="16">
        <f>+L18*(assessment!$J$272*assessment!$F$3)</f>
        <v>190.49445754361238</v>
      </c>
      <c r="P18" s="6">
        <f>+N18/payroll!F18</f>
        <v>5.9080658831144544E-5</v>
      </c>
      <c r="R18" s="16">
        <f>IF(P18&lt;$R$2,N18, +payroll!F18 * $R$2)</f>
        <v>190.49445754361238</v>
      </c>
      <c r="T18" s="5">
        <f t="shared" si="2"/>
        <v>0</v>
      </c>
      <c r="V18">
        <f t="shared" si="3"/>
        <v>1</v>
      </c>
    </row>
    <row r="19" spans="1:22">
      <c r="A19" t="s">
        <v>29</v>
      </c>
      <c r="B19" t="s">
        <v>519</v>
      </c>
      <c r="C19" s="40">
        <v>1098.99</v>
      </c>
      <c r="D19" s="40">
        <v>10234.33</v>
      </c>
      <c r="E19" s="40">
        <v>0</v>
      </c>
      <c r="F19" s="16"/>
      <c r="G19" s="16">
        <f t="shared" si="4"/>
        <v>3777.7733333333331</v>
      </c>
      <c r="H19" s="14">
        <v>1</v>
      </c>
      <c r="J19" s="16">
        <f t="shared" si="0"/>
        <v>3777.7733333333331</v>
      </c>
      <c r="L19" s="3">
        <f t="shared" si="1"/>
        <v>1.024129997228276E-4</v>
      </c>
      <c r="N19" s="16">
        <f>+L19*(assessment!$J$272*assessment!$F$3)</f>
        <v>3169.450571176319</v>
      </c>
      <c r="P19" s="6">
        <f>+N19/payroll!F19</f>
        <v>1.0630197296731434E-3</v>
      </c>
      <c r="R19" s="16">
        <f>IF(P19&lt;$R$2,N19, +payroll!F19 * $R$2)</f>
        <v>3169.450571176319</v>
      </c>
      <c r="T19" s="5">
        <f t="shared" si="2"/>
        <v>0</v>
      </c>
      <c r="V19">
        <f t="shared" si="3"/>
        <v>1</v>
      </c>
    </row>
    <row r="20" spans="1:22">
      <c r="A20" t="s">
        <v>30</v>
      </c>
      <c r="B20" t="s">
        <v>520</v>
      </c>
      <c r="C20" s="40">
        <v>0</v>
      </c>
      <c r="D20" s="40">
        <v>0</v>
      </c>
      <c r="E20" s="40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+L20*(assessment!$J$272*assessment!$F$3)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521</v>
      </c>
      <c r="C21" s="40">
        <v>0</v>
      </c>
      <c r="D21" s="40">
        <v>0</v>
      </c>
      <c r="E21" s="40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+L21*(assessment!$J$272*assessment!$F$3)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522</v>
      </c>
      <c r="C22" s="40">
        <v>0</v>
      </c>
      <c r="D22" s="40">
        <v>0</v>
      </c>
      <c r="E22" s="40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+L22*(assessment!$J$272*assessment!$F$3)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523</v>
      </c>
      <c r="C23" s="40">
        <v>0</v>
      </c>
      <c r="D23" s="40">
        <v>0</v>
      </c>
      <c r="E23" s="40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+L23*(assessment!$J$272*assessment!$F$3)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524</v>
      </c>
      <c r="C24" s="40">
        <v>0</v>
      </c>
      <c r="D24" s="40">
        <v>0</v>
      </c>
      <c r="E24" s="40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+L24*(assessment!$J$272*assessment!$F$3)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525</v>
      </c>
      <c r="C25" s="40">
        <v>4671.41</v>
      </c>
      <c r="D25" s="40">
        <v>0</v>
      </c>
      <c r="E25" s="40">
        <v>0</v>
      </c>
      <c r="F25" s="16"/>
      <c r="G25" s="16">
        <f t="shared" si="4"/>
        <v>1557.1366666666665</v>
      </c>
      <c r="H25" s="14">
        <v>1</v>
      </c>
      <c r="J25" s="16">
        <f t="shared" si="0"/>
        <v>1557.1366666666665</v>
      </c>
      <c r="L25" s="3">
        <f t="shared" si="1"/>
        <v>4.2212971224249741E-5</v>
      </c>
      <c r="N25" s="16">
        <f>+L25*(assessment!$J$272*assessment!$F$3)</f>
        <v>1306.3959274686295</v>
      </c>
      <c r="P25" s="6">
        <f>+N25/payroll!F25</f>
        <v>7.0214921741190944E-4</v>
      </c>
      <c r="R25" s="16">
        <f>IF(P25&lt;$R$2,N25, +payroll!F25 * $R$2)</f>
        <v>1306.3959274686295</v>
      </c>
      <c r="T25" s="5">
        <f t="shared" si="2"/>
        <v>0</v>
      </c>
      <c r="V25">
        <f t="shared" si="3"/>
        <v>1</v>
      </c>
    </row>
    <row r="26" spans="1:22">
      <c r="A26" t="s">
        <v>36</v>
      </c>
      <c r="B26" t="s">
        <v>526</v>
      </c>
      <c r="C26" s="40">
        <v>0</v>
      </c>
      <c r="D26" s="40">
        <v>0</v>
      </c>
      <c r="E26" s="40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+L26*(assessment!$J$272*assessment!$F$3)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527</v>
      </c>
      <c r="C27" s="40">
        <v>0</v>
      </c>
      <c r="D27" s="40">
        <v>0</v>
      </c>
      <c r="E27" s="40">
        <v>0</v>
      </c>
      <c r="F27" s="16"/>
      <c r="G27" s="16">
        <f t="shared" si="4"/>
        <v>0</v>
      </c>
      <c r="H27" s="14">
        <v>1</v>
      </c>
      <c r="J27" s="16">
        <f t="shared" si="0"/>
        <v>0</v>
      </c>
      <c r="L27" s="3">
        <f t="shared" si="1"/>
        <v>0</v>
      </c>
      <c r="N27" s="16">
        <f>+L27*(assessment!$J$272*assessment!$F$3)</f>
        <v>0</v>
      </c>
      <c r="P27" s="6">
        <f>+N27/payroll!F27</f>
        <v>0</v>
      </c>
      <c r="R27" s="16">
        <f>IF(P27&lt;$R$2,N27, +payroll!F27 * $R$2)</f>
        <v>0</v>
      </c>
      <c r="T27" s="5">
        <f t="shared" si="2"/>
        <v>0</v>
      </c>
      <c r="V27" t="e">
        <f t="shared" si="3"/>
        <v>#DIV/0!</v>
      </c>
    </row>
    <row r="28" spans="1:22">
      <c r="A28" t="s">
        <v>38</v>
      </c>
      <c r="B28" t="s">
        <v>528</v>
      </c>
      <c r="C28" s="40">
        <v>0</v>
      </c>
      <c r="D28" s="40">
        <v>0</v>
      </c>
      <c r="E28" s="40">
        <v>0</v>
      </c>
      <c r="F28" s="16"/>
      <c r="G28" s="16">
        <f t="shared" si="4"/>
        <v>0</v>
      </c>
      <c r="H28" s="14">
        <v>1</v>
      </c>
      <c r="J28" s="16">
        <f t="shared" si="0"/>
        <v>0</v>
      </c>
      <c r="L28" s="3">
        <f t="shared" si="1"/>
        <v>0</v>
      </c>
      <c r="N28" s="16">
        <f>+L28*(assessment!$J$272*assessment!$F$3)</f>
        <v>0</v>
      </c>
      <c r="P28" s="6">
        <f>+N28/payroll!F28</f>
        <v>0</v>
      </c>
      <c r="R28" s="16">
        <f>IF(P28&lt;$R$2,N28, +payroll!F28 * $R$2)</f>
        <v>0</v>
      </c>
      <c r="T28" s="5">
        <f t="shared" si="2"/>
        <v>0</v>
      </c>
      <c r="V28" t="e">
        <f t="shared" si="3"/>
        <v>#DIV/0!</v>
      </c>
    </row>
    <row r="29" spans="1:22">
      <c r="A29" t="s">
        <v>39</v>
      </c>
      <c r="B29" t="s">
        <v>529</v>
      </c>
      <c r="C29" s="40">
        <v>0</v>
      </c>
      <c r="D29" s="40">
        <v>0</v>
      </c>
      <c r="E29" s="40">
        <v>9.1999999999999993</v>
      </c>
      <c r="F29" s="16"/>
      <c r="G29" s="16">
        <f t="shared" si="4"/>
        <v>3.0666666666666664</v>
      </c>
      <c r="H29" s="14">
        <v>1</v>
      </c>
      <c r="J29" s="16">
        <f t="shared" si="0"/>
        <v>3.0666666666666664</v>
      </c>
      <c r="L29" s="3">
        <f t="shared" si="1"/>
        <v>8.3135356404832294E-8</v>
      </c>
      <c r="N29" s="16">
        <f>+L29*(assessment!$J$272*assessment!$F$3)</f>
        <v>2.5728511376032914</v>
      </c>
      <c r="P29" s="6">
        <f>+N29/payroll!F29</f>
        <v>1.0681486394956673E-6</v>
      </c>
      <c r="R29" s="16">
        <f>IF(P29&lt;$R$2,N29, +payroll!F29 * $R$2)</f>
        <v>2.5728511376032914</v>
      </c>
      <c r="T29" s="5">
        <f t="shared" si="2"/>
        <v>0</v>
      </c>
      <c r="V29">
        <f t="shared" si="3"/>
        <v>1</v>
      </c>
    </row>
    <row r="30" spans="1:22">
      <c r="A30" t="s">
        <v>40</v>
      </c>
      <c r="B30" t="s">
        <v>530</v>
      </c>
      <c r="C30" s="40">
        <v>73751.17</v>
      </c>
      <c r="D30" s="40">
        <v>46375.48</v>
      </c>
      <c r="E30" s="40">
        <v>42738.59</v>
      </c>
      <c r="F30" s="16"/>
      <c r="G30" s="16">
        <f t="shared" si="4"/>
        <v>54288.41333333333</v>
      </c>
      <c r="H30" s="14">
        <v>1</v>
      </c>
      <c r="J30" s="16">
        <f t="shared" si="0"/>
        <v>54288.41333333333</v>
      </c>
      <c r="L30" s="3">
        <f t="shared" si="1"/>
        <v>1.471723888408538E-3</v>
      </c>
      <c r="N30" s="16">
        <f>+L30*(assessment!$J$272*assessment!$F$3)</f>
        <v>45546.523696742734</v>
      </c>
      <c r="P30" s="6">
        <f>+N30/payroll!F30</f>
        <v>1.021499249400184E-2</v>
      </c>
      <c r="R30" s="16">
        <f>IF(P30&lt;$R$2,N30, +payroll!F30 * $R$2)</f>
        <v>45546.523696742734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531</v>
      </c>
      <c r="C31" s="40">
        <v>473566.25</v>
      </c>
      <c r="D31" s="40">
        <v>582785.47</v>
      </c>
      <c r="E31" s="40">
        <v>1423050.58</v>
      </c>
      <c r="F31" s="16"/>
      <c r="G31" s="16">
        <f t="shared" si="4"/>
        <v>826467.43333333323</v>
      </c>
      <c r="H31" s="14">
        <v>1</v>
      </c>
      <c r="J31" s="16">
        <f t="shared" si="0"/>
        <v>826467.43333333323</v>
      </c>
      <c r="L31" s="3">
        <f t="shared" si="1"/>
        <v>2.2404999334941403E-2</v>
      </c>
      <c r="N31" s="16">
        <f>+L31*(assessment!$J$272*assessment!$F$3)</f>
        <v>693384.02479687147</v>
      </c>
      <c r="P31" s="6">
        <f>+N31/payroll!F31</f>
        <v>7.5185535322623339E-3</v>
      </c>
      <c r="R31" s="16">
        <f>IF(P31&lt;$R$2,N31, +payroll!F31 * $R$2)</f>
        <v>693384.02479687147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40">
        <v>0</v>
      </c>
      <c r="D32" s="40">
        <v>0</v>
      </c>
      <c r="E32" s="40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+L32*(assessment!$J$272*assessment!$F$3)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40">
        <v>0</v>
      </c>
      <c r="D33" s="40">
        <v>0</v>
      </c>
      <c r="E33" s="40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+L33*(assessment!$J$272*assessment!$F$3)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40">
        <v>365.86</v>
      </c>
      <c r="D34" s="40">
        <v>638.23</v>
      </c>
      <c r="E34" s="40">
        <v>872.38</v>
      </c>
      <c r="F34" s="16"/>
      <c r="G34" s="16">
        <f t="shared" si="4"/>
        <v>625.49</v>
      </c>
      <c r="H34" s="14">
        <v>1</v>
      </c>
      <c r="J34" s="16">
        <f t="shared" si="0"/>
        <v>625.49</v>
      </c>
      <c r="L34" s="3">
        <f t="shared" si="1"/>
        <v>1.6956630677497356E-5</v>
      </c>
      <c r="N34" s="16">
        <f>+L34*(assessment!$J$272*assessment!$F$3)</f>
        <v>524.76934501939661</v>
      </c>
      <c r="P34" s="6">
        <f>+N34/payroll!F34</f>
        <v>2.9085194868014154E-5</v>
      </c>
      <c r="R34" s="16">
        <f>IF(P34&lt;$R$2,N34, +payroll!F34 * $R$2)</f>
        <v>524.76934501939661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40">
        <v>193160.32000000001</v>
      </c>
      <c r="D35" s="40">
        <v>239134.37</v>
      </c>
      <c r="E35" s="40">
        <v>165715.28</v>
      </c>
      <c r="F35" s="16"/>
      <c r="G35" s="16">
        <f t="shared" si="4"/>
        <v>199336.65666666665</v>
      </c>
      <c r="H35" s="14">
        <v>1</v>
      </c>
      <c r="J35" s="16">
        <f t="shared" si="0"/>
        <v>199336.65666666665</v>
      </c>
      <c r="L35" s="3">
        <f t="shared" si="1"/>
        <v>5.4038882597383774E-3</v>
      </c>
      <c r="N35" s="16">
        <f>+L35*(assessment!$J$272*assessment!$F$3)</f>
        <v>167238.11213180548</v>
      </c>
      <c r="P35" s="6">
        <f>+N35/payroll!F35</f>
        <v>7.8821899448401763E-4</v>
      </c>
      <c r="R35" s="16">
        <f>IF(P35&lt;$R$2,N35, +payroll!F35 * $R$2)</f>
        <v>167238.11213180548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497</v>
      </c>
      <c r="C36" s="40">
        <v>18840.32</v>
      </c>
      <c r="D36" s="40">
        <v>12804.6</v>
      </c>
      <c r="E36" s="40">
        <v>37896.22</v>
      </c>
      <c r="F36" s="16"/>
      <c r="G36" s="16">
        <f t="shared" si="4"/>
        <v>23180.38</v>
      </c>
      <c r="H36" s="14">
        <v>1</v>
      </c>
      <c r="J36" s="16">
        <f t="shared" si="0"/>
        <v>23180.38</v>
      </c>
      <c r="L36" s="3">
        <f t="shared" si="1"/>
        <v>6.2840515855416737E-4</v>
      </c>
      <c r="N36" s="16">
        <f>+L36*(assessment!$J$272*assessment!$F$3)</f>
        <v>19447.717517307585</v>
      </c>
      <c r="P36" s="6">
        <f>+N36/payroll!F36</f>
        <v>1.2488327989882858E-3</v>
      </c>
      <c r="R36" s="16">
        <f>IF(P36&lt;$R$2,N36, +payroll!F36 * $R$2)</f>
        <v>19447.717517307585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40">
        <v>118526.04</v>
      </c>
      <c r="D37" s="40">
        <v>135891.38</v>
      </c>
      <c r="E37" s="40">
        <v>218389.25</v>
      </c>
      <c r="F37" s="16"/>
      <c r="G37" s="16">
        <f t="shared" si="4"/>
        <v>157602.22333333333</v>
      </c>
      <c r="H37" s="14">
        <v>1</v>
      </c>
      <c r="J37" s="16">
        <f t="shared" si="0"/>
        <v>157602.22333333333</v>
      </c>
      <c r="L37" s="3">
        <f t="shared" ref="L37:L68" si="5">+J37/$J$264</f>
        <v>4.2724946761991227E-3</v>
      </c>
      <c r="N37" s="16">
        <f>+L37*(assessment!$J$272*assessment!$F$3)</f>
        <v>132224.04117129609</v>
      </c>
      <c r="P37" s="6">
        <f>+N37/payroll!F37</f>
        <v>7.6542855711606603E-4</v>
      </c>
      <c r="R37" s="16">
        <f>IF(P37&lt;$R$2,N37, +payroll!F37 * $R$2)</f>
        <v>132224.04117129609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40">
        <v>6604.48</v>
      </c>
      <c r="D38" s="40">
        <v>30540</v>
      </c>
      <c r="E38" s="40">
        <v>15574.04</v>
      </c>
      <c r="F38" s="16"/>
      <c r="G38" s="16">
        <f t="shared" si="4"/>
        <v>17572.84</v>
      </c>
      <c r="H38" s="14">
        <v>1</v>
      </c>
      <c r="J38" s="16">
        <f t="shared" si="0"/>
        <v>17572.84</v>
      </c>
      <c r="L38" s="3">
        <f t="shared" si="5"/>
        <v>4.7638836405818259E-4</v>
      </c>
      <c r="N38" s="16">
        <f>+L38*(assessment!$J$272*assessment!$F$3)</f>
        <v>14743.14175595238</v>
      </c>
      <c r="P38" s="6">
        <f>+N38/payroll!F38</f>
        <v>3.346075548481009E-4</v>
      </c>
      <c r="R38" s="16">
        <f>IF(P38&lt;$R$2,N38, +payroll!F38 * $R$2)</f>
        <v>14743.14175595238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40">
        <v>3149.54</v>
      </c>
      <c r="D39" s="40">
        <v>16466.599999999999</v>
      </c>
      <c r="E39" s="40">
        <v>4243.45</v>
      </c>
      <c r="F39" s="16"/>
      <c r="G39" s="16">
        <f t="shared" si="4"/>
        <v>7953.1966666666667</v>
      </c>
      <c r="H39" s="14">
        <v>1</v>
      </c>
      <c r="J39" s="16">
        <f t="shared" si="0"/>
        <v>7953.1966666666667</v>
      </c>
      <c r="L39" s="3">
        <f t="shared" si="5"/>
        <v>2.1560603460034486E-4</v>
      </c>
      <c r="N39" s="16">
        <f>+L39*(assessment!$J$272*assessment!$F$3)</f>
        <v>6672.5188341574049</v>
      </c>
      <c r="P39" s="6">
        <f>+N39/payroll!F39</f>
        <v>9.8067446287357558E-4</v>
      </c>
      <c r="R39" s="16">
        <f>IF(P39&lt;$R$2,N39, +payroll!F39 * $R$2)</f>
        <v>6672.5188341574049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40">
        <v>1483.07</v>
      </c>
      <c r="D40" s="40">
        <v>5282.17</v>
      </c>
      <c r="E40" s="40">
        <v>3407.57</v>
      </c>
      <c r="F40" s="16"/>
      <c r="G40" s="16">
        <f t="shared" si="4"/>
        <v>3390.9366666666665</v>
      </c>
      <c r="H40" s="14">
        <v>1</v>
      </c>
      <c r="J40" s="16">
        <f t="shared" si="0"/>
        <v>3390.9366666666665</v>
      </c>
      <c r="L40" s="3">
        <f t="shared" si="5"/>
        <v>9.1926107063982829E-5</v>
      </c>
      <c r="N40" s="16">
        <f>+L40*(assessment!$J$272*assessment!$F$3)</f>
        <v>2844.9049762089285</v>
      </c>
      <c r="P40" s="6">
        <f>+N40/payroll!F40</f>
        <v>2.8325802777912448E-4</v>
      </c>
      <c r="R40" s="16">
        <f>IF(P40&lt;$R$2,N40, +payroll!F40 * $R$2)</f>
        <v>2844.9049762089285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40">
        <v>0</v>
      </c>
      <c r="D41" s="40">
        <v>0</v>
      </c>
      <c r="E41" s="40">
        <v>1747.76</v>
      </c>
      <c r="F41" s="16"/>
      <c r="G41" s="16">
        <f t="shared" si="4"/>
        <v>582.5866666666667</v>
      </c>
      <c r="H41" s="14">
        <v>1</v>
      </c>
      <c r="J41" s="16">
        <f t="shared" si="0"/>
        <v>582.5866666666667</v>
      </c>
      <c r="L41" s="3">
        <f t="shared" si="5"/>
        <v>1.5793548968490186E-5</v>
      </c>
      <c r="N41" s="16">
        <f>+L41*(assessment!$J$272*assessment!$F$3)</f>
        <v>488.77459828886191</v>
      </c>
      <c r="P41" s="6">
        <f>+N41/payroll!F41</f>
        <v>3.2960292828115695E-5</v>
      </c>
      <c r="R41" s="16">
        <f>IF(P41&lt;$R$2,N41, +payroll!F41 * $R$2)</f>
        <v>488.77459828886191</v>
      </c>
      <c r="T41" s="5">
        <f t="shared" si="2"/>
        <v>0</v>
      </c>
      <c r="V41">
        <f t="shared" si="3"/>
        <v>1</v>
      </c>
    </row>
    <row r="42" spans="1:22">
      <c r="A42" t="s">
        <v>61</v>
      </c>
      <c r="B42" t="s">
        <v>532</v>
      </c>
      <c r="C42" s="40">
        <v>192.21</v>
      </c>
      <c r="D42" s="40">
        <v>1462.33</v>
      </c>
      <c r="E42" s="40">
        <v>0</v>
      </c>
      <c r="F42" s="16"/>
      <c r="G42" s="16">
        <f t="shared" si="4"/>
        <v>551.51333333333332</v>
      </c>
      <c r="H42" s="14">
        <v>1</v>
      </c>
      <c r="J42" s="16">
        <f t="shared" si="0"/>
        <v>551.51333333333332</v>
      </c>
      <c r="L42" s="3">
        <f t="shared" si="5"/>
        <v>1.4951170933266439E-5</v>
      </c>
      <c r="N42" s="16">
        <f>+L42*(assessment!$J$272*assessment!$F$3)</f>
        <v>462.70490447936419</v>
      </c>
      <c r="P42" s="6">
        <f>+N42/payroll!F42</f>
        <v>7.7351904354727781E-5</v>
      </c>
      <c r="R42" s="16">
        <f>IF(P42&lt;$R$2,N42, +payroll!F42 * $R$2)</f>
        <v>462.70490447936419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40">
        <v>0</v>
      </c>
      <c r="D43" s="40">
        <v>569.02</v>
      </c>
      <c r="E43" s="40">
        <v>7330.54</v>
      </c>
      <c r="F43" s="16"/>
      <c r="G43" s="16">
        <f t="shared" si="4"/>
        <v>2633.1866666666665</v>
      </c>
      <c r="H43" s="14">
        <v>1</v>
      </c>
      <c r="J43" s="16">
        <f t="shared" si="0"/>
        <v>2633.1866666666665</v>
      </c>
      <c r="L43" s="3">
        <f t="shared" si="5"/>
        <v>7.1383993047973595E-5</v>
      </c>
      <c r="N43" s="16">
        <f>+L43*(assessment!$J$272*assessment!$F$3)</f>
        <v>2209.1730361484197</v>
      </c>
      <c r="P43" s="6">
        <f>+N43/payroll!F43</f>
        <v>1.4175892877498519E-4</v>
      </c>
      <c r="R43" s="16">
        <f>IF(P43&lt;$R$2,N43, +payroll!F43 * $R$2)</f>
        <v>2209.1730361484197</v>
      </c>
      <c r="T43" s="5">
        <f t="shared" si="2"/>
        <v>0</v>
      </c>
      <c r="V43">
        <f t="shared" si="3"/>
        <v>1</v>
      </c>
    </row>
    <row r="44" spans="1:22">
      <c r="A44" s="50" t="s">
        <v>64</v>
      </c>
      <c r="B44" s="50" t="s">
        <v>533</v>
      </c>
      <c r="C44" s="40">
        <v>217956.39</v>
      </c>
      <c r="D44" s="40">
        <v>300710.37</v>
      </c>
      <c r="E44" s="40">
        <f>331650.63+28792.78</f>
        <v>360443.41000000003</v>
      </c>
      <c r="F44" s="16"/>
      <c r="G44" s="16">
        <f t="shared" si="4"/>
        <v>293036.72333333333</v>
      </c>
      <c r="H44" s="14">
        <v>1</v>
      </c>
      <c r="J44" s="16">
        <f t="shared" si="0"/>
        <v>293036.72333333333</v>
      </c>
      <c r="L44" s="3">
        <f t="shared" si="5"/>
        <v>7.9440366632676871E-3</v>
      </c>
      <c r="N44" s="16">
        <f>+L44*(assessment!$J$272*assessment!$F$3)</f>
        <v>245849.95662642646</v>
      </c>
      <c r="P44" s="6">
        <f>+N44/payroll!F44</f>
        <v>1.9804276463507809E-3</v>
      </c>
      <c r="R44" s="16">
        <f>IF(P44&lt;$R$2,N44, +payroll!F44 * $R$2)</f>
        <v>245849.95662642646</v>
      </c>
      <c r="T44" s="5">
        <f t="shared" si="2"/>
        <v>0</v>
      </c>
      <c r="V44">
        <f t="shared" si="3"/>
        <v>1</v>
      </c>
    </row>
    <row r="45" spans="1:22">
      <c r="A45" t="s">
        <v>555</v>
      </c>
      <c r="B45" t="s">
        <v>556</v>
      </c>
      <c r="C45" s="40">
        <v>0</v>
      </c>
      <c r="D45" s="40">
        <v>0</v>
      </c>
      <c r="E45" s="40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+L45*(assessment!$J$272*assessment!$F$3)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40">
        <v>542.30999999999995</v>
      </c>
      <c r="D46" s="40">
        <v>9755.51</v>
      </c>
      <c r="E46" s="40">
        <v>13095.75</v>
      </c>
      <c r="F46" s="16"/>
      <c r="G46" s="16">
        <f t="shared" si="4"/>
        <v>7797.8566666666666</v>
      </c>
      <c r="H46" s="14">
        <v>1</v>
      </c>
      <c r="J46" s="16">
        <f t="shared" si="0"/>
        <v>7797.8566666666666</v>
      </c>
      <c r="L46" s="3">
        <f t="shared" si="5"/>
        <v>2.1139486734036877E-4</v>
      </c>
      <c r="N46" s="16">
        <f>+L46*(assessment!$J$272*assessment!$F$3)</f>
        <v>6542.1927377285037</v>
      </c>
      <c r="P46" s="6">
        <f>+N46/payroll!F46</f>
        <v>1.1948065200534698E-3</v>
      </c>
      <c r="R46" s="16">
        <f>IF(P46&lt;$R$2,N46, +payroll!F46 * $R$2)</f>
        <v>6542.1927377285037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40">
        <v>166.09</v>
      </c>
      <c r="D47" s="40">
        <v>16108.8</v>
      </c>
      <c r="E47" s="40">
        <v>19881.84</v>
      </c>
      <c r="F47" s="16"/>
      <c r="G47" s="16">
        <f t="shared" si="4"/>
        <v>12052.243333333332</v>
      </c>
      <c r="H47" s="14">
        <v>1</v>
      </c>
      <c r="J47" s="16">
        <f t="shared" si="0"/>
        <v>12052.243333333332</v>
      </c>
      <c r="L47" s="3">
        <f t="shared" si="5"/>
        <v>3.267285472807926E-4</v>
      </c>
      <c r="N47" s="16">
        <f>+L47*(assessment!$J$272*assessment!$F$3)</f>
        <v>10111.50912092555</v>
      </c>
      <c r="P47" s="6">
        <f>+N47/payroll!F47</f>
        <v>5.3139148660494317E-4</v>
      </c>
      <c r="R47" s="16">
        <f>IF(P47&lt;$R$2,N47, +payroll!F47 * $R$2)</f>
        <v>10111.50912092555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40">
        <v>0</v>
      </c>
      <c r="D48" s="40">
        <v>0</v>
      </c>
      <c r="E48" s="40">
        <v>265</v>
      </c>
      <c r="F48" s="16"/>
      <c r="G48" s="16">
        <f t="shared" si="4"/>
        <v>88.333333333333329</v>
      </c>
      <c r="H48" s="14">
        <v>1</v>
      </c>
      <c r="J48" s="16">
        <f t="shared" si="0"/>
        <v>88.333333333333329</v>
      </c>
      <c r="L48" s="3">
        <f t="shared" si="5"/>
        <v>2.3946597225304954E-6</v>
      </c>
      <c r="N48" s="16">
        <f>+L48*(assessment!$J$272*assessment!$F$3)</f>
        <v>74.109299072268726</v>
      </c>
      <c r="P48" s="6">
        <f>+N48/payroll!F48</f>
        <v>9.9582403989987144E-5</v>
      </c>
      <c r="R48" s="16">
        <f>IF(P48&lt;$R$2,N48, +payroll!F48 * $R$2)</f>
        <v>74.109299072268726</v>
      </c>
      <c r="T48" s="5">
        <f t="shared" si="2"/>
        <v>0</v>
      </c>
      <c r="V48">
        <f t="shared" si="3"/>
        <v>1</v>
      </c>
    </row>
    <row r="49" spans="1:22">
      <c r="A49" t="s">
        <v>71</v>
      </c>
      <c r="B49" t="s">
        <v>72</v>
      </c>
      <c r="C49" s="40">
        <v>0</v>
      </c>
      <c r="D49" s="40">
        <v>0</v>
      </c>
      <c r="E49" s="40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+L49*(assessment!$J$272*assessment!$F$3)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40">
        <v>0</v>
      </c>
      <c r="D50" s="40">
        <v>0</v>
      </c>
      <c r="E50" s="40">
        <v>1548.67</v>
      </c>
      <c r="F50" s="16"/>
      <c r="G50" s="16">
        <f t="shared" si="4"/>
        <v>516.22333333333336</v>
      </c>
      <c r="H50" s="14">
        <v>1</v>
      </c>
      <c r="J50" s="16">
        <f t="shared" si="0"/>
        <v>516.22333333333336</v>
      </c>
      <c r="L50" s="3">
        <f t="shared" si="5"/>
        <v>1.3994481782986049E-5</v>
      </c>
      <c r="N50" s="16">
        <f>+L50*(assessment!$J$272*assessment!$F$3)</f>
        <v>433.09754035566198</v>
      </c>
      <c r="P50" s="6">
        <f>+N50/payroll!F50</f>
        <v>6.7988283148218229E-4</v>
      </c>
      <c r="R50" s="16">
        <f>IF(P50&lt;$R$2,N50, +payroll!F50 * $R$2)</f>
        <v>433.09754035566198</v>
      </c>
      <c r="T50" s="5">
        <f t="shared" si="2"/>
        <v>0</v>
      </c>
      <c r="V50">
        <f t="shared" si="3"/>
        <v>1</v>
      </c>
    </row>
    <row r="51" spans="1:22">
      <c r="A51" t="s">
        <v>75</v>
      </c>
      <c r="B51" t="s">
        <v>76</v>
      </c>
      <c r="C51" s="40">
        <v>0</v>
      </c>
      <c r="D51" s="40">
        <v>3625.74</v>
      </c>
      <c r="E51" s="40">
        <v>3794.12</v>
      </c>
      <c r="F51" s="16"/>
      <c r="G51" s="16">
        <f t="shared" si="4"/>
        <v>2473.2866666666664</v>
      </c>
      <c r="H51" s="14">
        <v>1</v>
      </c>
      <c r="J51" s="16">
        <f t="shared" si="0"/>
        <v>2473.2866666666664</v>
      </c>
      <c r="L51" s="3">
        <f t="shared" si="5"/>
        <v>6.704920712760424E-5</v>
      </c>
      <c r="N51" s="16">
        <f>+L51*(assessment!$J$272*assessment!$F$3)</f>
        <v>2075.0212219409959</v>
      </c>
      <c r="P51" s="6">
        <f>+N51/payroll!F51</f>
        <v>1.189894847635014E-3</v>
      </c>
      <c r="R51" s="16">
        <f>IF(P51&lt;$R$2,N51, +payroll!F51 * $R$2)</f>
        <v>2075.0212219409959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40">
        <v>0</v>
      </c>
      <c r="D52" s="40">
        <v>0</v>
      </c>
      <c r="E52" s="40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+L52*(assessment!$J$272*assessment!$F$3)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40">
        <v>0</v>
      </c>
      <c r="D53" s="40">
        <v>0</v>
      </c>
      <c r="E53" s="40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+L53*(assessment!$J$272*assessment!$F$3)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>
      <c r="A54" t="s">
        <v>81</v>
      </c>
      <c r="B54" t="s">
        <v>498</v>
      </c>
      <c r="C54" s="40">
        <v>186.43</v>
      </c>
      <c r="D54" s="40">
        <v>15323.02</v>
      </c>
      <c r="E54" s="40">
        <v>465.37</v>
      </c>
      <c r="F54" s="16"/>
      <c r="G54" s="16">
        <f t="shared" si="4"/>
        <v>5324.9400000000005</v>
      </c>
      <c r="H54" s="14">
        <v>1</v>
      </c>
      <c r="J54" s="16">
        <f t="shared" si="0"/>
        <v>5324.9400000000005</v>
      </c>
      <c r="L54" s="3">
        <f t="shared" si="5"/>
        <v>1.4435569067424383E-4</v>
      </c>
      <c r="N54" s="16">
        <f>+L54*(assessment!$J$272*assessment!$F$3)</f>
        <v>4467.4819358704153</v>
      </c>
      <c r="P54" s="6">
        <f>+N54/payroll!F54</f>
        <v>2.2266722669346081E-4</v>
      </c>
      <c r="R54" s="16">
        <f>IF(P54&lt;$R$2,N54, +payroll!F54 * $R$2)</f>
        <v>4467.4819358704153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40">
        <v>0</v>
      </c>
      <c r="D55" s="40">
        <v>0</v>
      </c>
      <c r="E55" s="40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+L55*(assessment!$J$272*assessment!$F$3)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6" t="s">
        <v>559</v>
      </c>
      <c r="C56" s="40">
        <v>417539.32</v>
      </c>
      <c r="D56" s="40">
        <v>296990.25</v>
      </c>
      <c r="E56" s="40">
        <v>420148.84</v>
      </c>
      <c r="F56" s="16"/>
      <c r="G56" s="16">
        <f t="shared" si="4"/>
        <v>378226.13666666672</v>
      </c>
      <c r="H56" s="14">
        <v>1</v>
      </c>
      <c r="J56" s="16">
        <f t="shared" ref="J56:J99" si="6">+G56*H56</f>
        <v>378226.13666666672</v>
      </c>
      <c r="L56" s="3">
        <f t="shared" si="5"/>
        <v>1.0253466741328092E-2</v>
      </c>
      <c r="N56" s="16">
        <f>+L56*(assessment!$J$272*assessment!$F$3)</f>
        <v>317321.59108504292</v>
      </c>
      <c r="P56" s="6">
        <f>+N56/payroll!F56</f>
        <v>1.2025455971075055E-2</v>
      </c>
      <c r="R56" s="16">
        <f>IF(P56&lt;$R$2,N56, +payroll!F56 * $R$2)</f>
        <v>317321.59108504292</v>
      </c>
      <c r="T56" s="5">
        <f t="shared" ref="T56:T99" si="7">+N56-R56</f>
        <v>0</v>
      </c>
      <c r="V56">
        <f t="shared" ref="V56:V99" si="8">+R56/N56</f>
        <v>1</v>
      </c>
    </row>
    <row r="57" spans="1:22">
      <c r="A57" t="s">
        <v>85</v>
      </c>
      <c r="B57" t="s">
        <v>86</v>
      </c>
      <c r="C57" s="40">
        <v>17821.68</v>
      </c>
      <c r="D57" s="40">
        <v>6294.72</v>
      </c>
      <c r="E57" s="40">
        <v>4801.4799999999996</v>
      </c>
      <c r="F57" s="16"/>
      <c r="G57" s="16">
        <f t="shared" si="4"/>
        <v>9639.2933333333331</v>
      </c>
      <c r="H57" s="14">
        <v>1</v>
      </c>
      <c r="J57" s="16">
        <f t="shared" si="6"/>
        <v>9639.2933333333331</v>
      </c>
      <c r="L57" s="3">
        <f t="shared" si="5"/>
        <v>2.6131502829045345E-4</v>
      </c>
      <c r="N57" s="16">
        <f>+L57*(assessment!$J$272*assessment!$F$3)</f>
        <v>8087.1087451168996</v>
      </c>
      <c r="P57" s="6">
        <f>+N57/payroll!F57</f>
        <v>4.5212490669618204E-4</v>
      </c>
      <c r="R57" s="16">
        <f>IF(P57&lt;$R$2,N57, +payroll!F57 * $R$2)</f>
        <v>8087.1087451168996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40">
        <v>1587802.52</v>
      </c>
      <c r="D58" s="40">
        <v>2183005.25</v>
      </c>
      <c r="E58" s="40">
        <v>2309063.4500000002</v>
      </c>
      <c r="F58" s="16"/>
      <c r="G58" s="16">
        <f t="shared" si="4"/>
        <v>2026623.7400000002</v>
      </c>
      <c r="H58" s="14">
        <v>1</v>
      </c>
      <c r="J58" s="16">
        <f t="shared" si="6"/>
        <v>2026623.7400000002</v>
      </c>
      <c r="L58" s="3">
        <f t="shared" si="5"/>
        <v>5.4940463127193764E-2</v>
      </c>
      <c r="N58" s="16">
        <f>+L58*(assessment!$J$272*assessment!$F$3)</f>
        <v>1700282.9983541863</v>
      </c>
      <c r="P58" s="6">
        <f>+N58/payroll!F58</f>
        <v>3.0650580946638868E-3</v>
      </c>
      <c r="R58" s="16">
        <f>IF(P58&lt;$R$2,N58, +payroll!F58 * $R$2)</f>
        <v>1700282.9983541863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6" t="s">
        <v>557</v>
      </c>
      <c r="C59" s="40">
        <v>0</v>
      </c>
      <c r="D59" s="40">
        <v>0</v>
      </c>
      <c r="E59" s="40">
        <v>2160.5100000000002</v>
      </c>
      <c r="F59" s="16"/>
      <c r="G59" s="16">
        <f t="shared" si="4"/>
        <v>720.17000000000007</v>
      </c>
      <c r="H59" s="14">
        <v>1</v>
      </c>
      <c r="J59" s="16">
        <f t="shared" si="6"/>
        <v>720.17000000000007</v>
      </c>
      <c r="L59" s="3">
        <f t="shared" si="5"/>
        <v>1.9523344441978723E-5</v>
      </c>
      <c r="N59" s="16">
        <f>+L59*(assessment!$J$272*assessment!$F$3)</f>
        <v>604.20332731557482</v>
      </c>
      <c r="P59" s="6">
        <f>+N59/payroll!F59</f>
        <v>2.5590613587810572E-4</v>
      </c>
      <c r="R59" s="16">
        <f>IF(P59&lt;$R$2,N59, +payroll!F59 * $R$2)</f>
        <v>604.20332731557482</v>
      </c>
      <c r="T59" s="5">
        <f t="shared" si="7"/>
        <v>0</v>
      </c>
      <c r="V59">
        <f t="shared" si="8"/>
        <v>1</v>
      </c>
    </row>
    <row r="60" spans="1:22">
      <c r="A60" t="s">
        <v>90</v>
      </c>
      <c r="B60" t="s">
        <v>91</v>
      </c>
      <c r="C60" s="40">
        <v>0</v>
      </c>
      <c r="D60" s="40">
        <v>0</v>
      </c>
      <c r="E60" s="40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+L60*(assessment!$J$272*assessment!$F$3)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40">
        <v>0</v>
      </c>
      <c r="D61" s="40">
        <v>0</v>
      </c>
      <c r="E61" s="40">
        <v>0</v>
      </c>
      <c r="F61" s="16"/>
      <c r="G61" s="16">
        <f t="shared" si="4"/>
        <v>0</v>
      </c>
      <c r="H61" s="14">
        <v>1</v>
      </c>
      <c r="J61" s="16">
        <f t="shared" si="6"/>
        <v>0</v>
      </c>
      <c r="L61" s="3">
        <f t="shared" si="5"/>
        <v>0</v>
      </c>
      <c r="N61" s="16">
        <f>+L61*(assessment!$J$272*assessment!$F$3)</f>
        <v>0</v>
      </c>
      <c r="P61" s="6">
        <f>+N61/payroll!F61</f>
        <v>0</v>
      </c>
      <c r="R61" s="16">
        <f>IF(P61&lt;$R$2,N61, +payroll!F61 * $R$2)</f>
        <v>0</v>
      </c>
      <c r="T61" s="5">
        <f t="shared" si="7"/>
        <v>0</v>
      </c>
      <c r="V61" t="e">
        <f t="shared" si="8"/>
        <v>#DIV/0!</v>
      </c>
    </row>
    <row r="62" spans="1:22">
      <c r="A62" t="s">
        <v>490</v>
      </c>
      <c r="B62" t="s">
        <v>491</v>
      </c>
      <c r="C62" s="40">
        <v>16912.759999999998</v>
      </c>
      <c r="D62" s="40">
        <v>15484.89</v>
      </c>
      <c r="E62" s="40">
        <v>32868.589999999997</v>
      </c>
      <c r="F62" s="16"/>
      <c r="G62" s="16">
        <f t="shared" si="4"/>
        <v>21755.41333333333</v>
      </c>
      <c r="H62" s="14">
        <v>1</v>
      </c>
      <c r="J62" s="16">
        <f>+G62*H62</f>
        <v>21755.41333333333</v>
      </c>
      <c r="L62" s="3">
        <f t="shared" si="5"/>
        <v>5.8977523082644797E-4</v>
      </c>
      <c r="N62" s="16">
        <f>+L62*(assessment!$J$272*assessment!$F$3)</f>
        <v>18252.208677292329</v>
      </c>
      <c r="P62" s="6">
        <f>+N62/payroll!F62</f>
        <v>2.3524199871082915E-3</v>
      </c>
      <c r="R62" s="16">
        <f>IF(P62&lt;$R$2,N62, +payroll!F62 * $R$2)</f>
        <v>18252.208677292329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492</v>
      </c>
      <c r="C63" s="40">
        <v>8.1999999999999993</v>
      </c>
      <c r="D63" s="40">
        <v>0</v>
      </c>
      <c r="E63" s="40">
        <v>0</v>
      </c>
      <c r="F63" s="16"/>
      <c r="G63" s="16">
        <f t="shared" si="4"/>
        <v>2.7333333333333329</v>
      </c>
      <c r="H63" s="14">
        <v>1</v>
      </c>
      <c r="J63" s="16">
        <f t="shared" si="6"/>
        <v>2.7333333333333329</v>
      </c>
      <c r="L63" s="3">
        <f t="shared" si="5"/>
        <v>7.409890462169835E-8</v>
      </c>
      <c r="N63" s="16">
        <f>+L63*(assessment!$J$272*assessment!$F$3)</f>
        <v>2.2931934052551077</v>
      </c>
      <c r="P63" s="6">
        <f>+N63/payroll!F63</f>
        <v>6.3335166963915905E-7</v>
      </c>
      <c r="R63" s="16">
        <f>IF(P63&lt;$R$2,N63, +payroll!F63 * $R$2)</f>
        <v>2.2931934052551077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40">
        <v>9302.33</v>
      </c>
      <c r="D64" s="40">
        <v>0</v>
      </c>
      <c r="E64" s="40">
        <v>816.41</v>
      </c>
      <c r="F64" s="16"/>
      <c r="G64" s="16">
        <f t="shared" si="4"/>
        <v>3372.9133333333334</v>
      </c>
      <c r="H64" s="14">
        <v>1</v>
      </c>
      <c r="J64" s="16">
        <f t="shared" si="6"/>
        <v>3372.9133333333334</v>
      </c>
      <c r="L64" s="3">
        <f t="shared" si="5"/>
        <v>9.1437506116068786E-5</v>
      </c>
      <c r="N64" s="16">
        <f>+L64*(assessment!$J$272*assessment!$F$3)</f>
        <v>2829.7838826208622</v>
      </c>
      <c r="P64" s="6">
        <f>+N64/payroll!F64</f>
        <v>1.7256544799189167E-4</v>
      </c>
      <c r="R64" s="16">
        <f>IF(P64&lt;$R$2,N64, +payroll!F64 * $R$2)</f>
        <v>2829.7838826208622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40">
        <v>16692.509999999998</v>
      </c>
      <c r="D65" s="40">
        <v>4736.82</v>
      </c>
      <c r="E65" s="40">
        <v>2260.19</v>
      </c>
      <c r="F65" s="16"/>
      <c r="G65" s="16">
        <f t="shared" si="4"/>
        <v>7896.5066666666653</v>
      </c>
      <c r="H65" s="14">
        <v>1</v>
      </c>
      <c r="J65" s="16">
        <f t="shared" si="6"/>
        <v>7896.5066666666653</v>
      </c>
      <c r="L65" s="3">
        <f t="shared" si="5"/>
        <v>2.1406920524558724E-4</v>
      </c>
      <c r="N65" s="16">
        <f>+L65*(assessment!$J$272*assessment!$F$3)</f>
        <v>6624.9574436169478</v>
      </c>
      <c r="P65" s="6">
        <f>+N65/payroll!F65</f>
        <v>3.0403888210793874E-4</v>
      </c>
      <c r="R65" s="16">
        <f>IF(P65&lt;$R$2,N65, +payroll!F65 * $R$2)</f>
        <v>6624.9574436169478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40">
        <v>72383.59</v>
      </c>
      <c r="D66" s="40">
        <v>34110.81</v>
      </c>
      <c r="E66" s="40">
        <v>26241.78</v>
      </c>
      <c r="F66" s="16"/>
      <c r="G66" s="16">
        <f t="shared" si="4"/>
        <v>44245.393333333333</v>
      </c>
      <c r="H66" s="14">
        <v>1</v>
      </c>
      <c r="J66" s="16">
        <f t="shared" si="6"/>
        <v>44245.393333333333</v>
      </c>
      <c r="L66" s="3">
        <f t="shared" si="5"/>
        <v>1.1994640904473884E-3</v>
      </c>
      <c r="N66" s="16">
        <f>+L66*(assessment!$J$272*assessment!$F$3)</f>
        <v>37120.699099360361</v>
      </c>
      <c r="P66" s="6">
        <f>+N66/payroll!F66</f>
        <v>4.9222706860281042E-4</v>
      </c>
      <c r="R66" s="16">
        <f>IF(P66&lt;$R$2,N66, +payroll!F66 * $R$2)</f>
        <v>37120.699099360361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534</v>
      </c>
      <c r="C67" s="40">
        <v>15718.47</v>
      </c>
      <c r="D67" s="40">
        <v>38562.44</v>
      </c>
      <c r="E67" s="40">
        <v>57694.31</v>
      </c>
      <c r="F67" s="16"/>
      <c r="G67" s="16">
        <f t="shared" si="4"/>
        <v>37325.073333333334</v>
      </c>
      <c r="H67" s="14">
        <v>1</v>
      </c>
      <c r="J67" s="16">
        <f t="shared" si="6"/>
        <v>37325.073333333334</v>
      </c>
      <c r="L67" s="3">
        <f t="shared" si="5"/>
        <v>1.0118586764358158E-3</v>
      </c>
      <c r="N67" s="16">
        <f>+L67*(assessment!$J$272*assessment!$F$3)</f>
        <v>31314.736104389005</v>
      </c>
      <c r="P67" s="6">
        <f>+N67/payroll!F67</f>
        <v>7.3874765210311868E-4</v>
      </c>
      <c r="R67" s="16">
        <f>IF(P67&lt;$R$2,N67, +payroll!F67 * $R$2)</f>
        <v>31314.736104389005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40">
        <v>0</v>
      </c>
      <c r="D68" s="40">
        <v>0</v>
      </c>
      <c r="E68" s="40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5"/>
        <v>0</v>
      </c>
      <c r="N68" s="16">
        <f>+L68*(assessment!$J$272*assessment!$F$3)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40">
        <v>0</v>
      </c>
      <c r="D69" s="40">
        <v>0</v>
      </c>
      <c r="E69" s="40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ref="L69:L97" si="9">+J69/$J$264</f>
        <v>0</v>
      </c>
      <c r="N69" s="16">
        <f>+L69*(assessment!$J$272*assessment!$F$3)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40">
        <v>51549.31</v>
      </c>
      <c r="D70" s="40">
        <v>156017.06</v>
      </c>
      <c r="E70" s="40">
        <v>102108.5</v>
      </c>
      <c r="F70" s="16"/>
      <c r="G70" s="16">
        <f t="shared" ref="G70:G131" si="10">IF(SUM(C70:E70)&gt;0,AVERAGE(C70:E70),0)</f>
        <v>103224.95666666667</v>
      </c>
      <c r="H70" s="14">
        <v>1</v>
      </c>
      <c r="J70" s="16">
        <f t="shared" si="6"/>
        <v>103224.95666666667</v>
      </c>
      <c r="L70" s="3">
        <f t="shared" si="9"/>
        <v>2.798362031203273E-3</v>
      </c>
      <c r="N70" s="16">
        <f>+L70*(assessment!$J$272*assessment!$F$3)</f>
        <v>86602.971909418644</v>
      </c>
      <c r="P70" s="6">
        <f>+N70/payroll!F70</f>
        <v>2.5249375748417706E-3</v>
      </c>
      <c r="R70" s="16">
        <f>IF(P70&lt;$R$2,N70, +payroll!F70 * $R$2)</f>
        <v>86602.971909418644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40">
        <v>0</v>
      </c>
      <c r="D71" s="40">
        <v>275</v>
      </c>
      <c r="E71" s="40">
        <v>0</v>
      </c>
      <c r="F71" s="16"/>
      <c r="G71" s="16">
        <f t="shared" si="10"/>
        <v>91.666666666666671</v>
      </c>
      <c r="H71" s="14">
        <v>1</v>
      </c>
      <c r="J71" s="16">
        <f t="shared" si="6"/>
        <v>91.666666666666671</v>
      </c>
      <c r="L71" s="3">
        <f t="shared" si="9"/>
        <v>2.4850242403618353E-6</v>
      </c>
      <c r="N71" s="16">
        <f>+L71*(assessment!$J$272*assessment!$F$3)</f>
        <v>76.905876395750568</v>
      </c>
      <c r="P71" s="6">
        <f>+N71/payroll!F71</f>
        <v>5.6442650059374425E-5</v>
      </c>
      <c r="R71" s="16">
        <f>IF(P71&lt;$R$2,N71, +payroll!F71 * $R$2)</f>
        <v>76.905876395750568</v>
      </c>
      <c r="T71" s="5">
        <f t="shared" si="7"/>
        <v>0</v>
      </c>
      <c r="V71">
        <f t="shared" si="8"/>
        <v>1</v>
      </c>
    </row>
    <row r="72" spans="1:22">
      <c r="A72" t="s">
        <v>110</v>
      </c>
      <c r="B72" t="s">
        <v>111</v>
      </c>
      <c r="C72" s="40">
        <v>0</v>
      </c>
      <c r="D72" s="40">
        <v>0</v>
      </c>
      <c r="E72" s="40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+L72*(assessment!$J$272*assessment!$F$3)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40">
        <v>0</v>
      </c>
      <c r="D73" s="40">
        <v>0</v>
      </c>
      <c r="E73" s="40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+L73*(assessment!$J$272*assessment!$F$3)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40">
        <v>0</v>
      </c>
      <c r="D74" s="40">
        <v>0</v>
      </c>
      <c r="E74" s="40">
        <v>0</v>
      </c>
      <c r="F74" s="16"/>
      <c r="G74" s="16">
        <f t="shared" si="10"/>
        <v>0</v>
      </c>
      <c r="H74" s="14">
        <v>1</v>
      </c>
      <c r="J74" s="16">
        <f t="shared" si="6"/>
        <v>0</v>
      </c>
      <c r="L74" s="3">
        <f t="shared" si="9"/>
        <v>0</v>
      </c>
      <c r="N74" s="16">
        <f>+L74*(assessment!$J$272*assessment!$F$3)</f>
        <v>0</v>
      </c>
      <c r="P74" s="6">
        <f>+N74/payroll!F74</f>
        <v>0</v>
      </c>
      <c r="R74" s="16">
        <f>IF(P74&lt;$R$2,N74, +payroll!F74 * $R$2)</f>
        <v>0</v>
      </c>
      <c r="T74" s="5">
        <f t="shared" si="7"/>
        <v>0</v>
      </c>
      <c r="V74" t="e">
        <f t="shared" si="8"/>
        <v>#DIV/0!</v>
      </c>
    </row>
    <row r="75" spans="1:22">
      <c r="A75" t="s">
        <v>116</v>
      </c>
      <c r="B75" t="s">
        <v>117</v>
      </c>
      <c r="C75" s="40">
        <v>0</v>
      </c>
      <c r="D75" s="40">
        <v>0</v>
      </c>
      <c r="E75" s="40">
        <v>0</v>
      </c>
      <c r="F75" s="16"/>
      <c r="G75" s="16">
        <f t="shared" si="10"/>
        <v>0</v>
      </c>
      <c r="H75" s="14">
        <v>1</v>
      </c>
      <c r="J75" s="16">
        <f t="shared" si="6"/>
        <v>0</v>
      </c>
      <c r="L75" s="3">
        <f t="shared" si="9"/>
        <v>0</v>
      </c>
      <c r="N75" s="16">
        <f>+L75*(assessment!$J$272*assessment!$F$3)</f>
        <v>0</v>
      </c>
      <c r="P75" s="6">
        <f>+N75/payroll!F75</f>
        <v>0</v>
      </c>
      <c r="R75" s="16">
        <f>IF(P75&lt;$R$2,N75, +payroll!F75 * $R$2)</f>
        <v>0</v>
      </c>
      <c r="T75" s="5">
        <f t="shared" si="7"/>
        <v>0</v>
      </c>
      <c r="V75" t="e">
        <f t="shared" si="8"/>
        <v>#DIV/0!</v>
      </c>
    </row>
    <row r="76" spans="1:22">
      <c r="A76" t="s">
        <v>118</v>
      </c>
      <c r="B76" t="s">
        <v>119</v>
      </c>
      <c r="C76" s="40">
        <v>-1104.1600000000001</v>
      </c>
      <c r="D76" s="40">
        <v>1763.44</v>
      </c>
      <c r="E76" s="40">
        <v>817.87</v>
      </c>
      <c r="F76" s="16"/>
      <c r="G76" s="16">
        <f t="shared" si="10"/>
        <v>492.38333333333338</v>
      </c>
      <c r="H76" s="14">
        <v>1</v>
      </c>
      <c r="J76" s="16">
        <f t="shared" si="6"/>
        <v>492.38333333333338</v>
      </c>
      <c r="L76" s="3">
        <f t="shared" si="9"/>
        <v>1.334819475145631E-5</v>
      </c>
      <c r="N76" s="16">
        <f>+L76*(assessment!$J$272*assessment!$F$3)</f>
        <v>413.09641933811986</v>
      </c>
      <c r="P76" s="6">
        <f>+N76/payroll!F76</f>
        <v>3.2726578786994404E-5</v>
      </c>
      <c r="R76" s="16">
        <f>IF(P76&lt;$R$2,N76, +payroll!F76 * $R$2)</f>
        <v>413.09641933811986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40">
        <v>0</v>
      </c>
      <c r="D77" s="40">
        <v>0</v>
      </c>
      <c r="E77" s="40">
        <v>0</v>
      </c>
      <c r="F77" s="16"/>
      <c r="G77" s="16">
        <f t="shared" si="10"/>
        <v>0</v>
      </c>
      <c r="H77" s="14">
        <v>1</v>
      </c>
      <c r="J77" s="16">
        <f t="shared" si="6"/>
        <v>0</v>
      </c>
      <c r="L77" s="3">
        <f t="shared" si="9"/>
        <v>0</v>
      </c>
      <c r="N77" s="16">
        <f>+L77*(assessment!$J$272*assessment!$F$3)</f>
        <v>0</v>
      </c>
      <c r="P77" s="6">
        <f>+N77/payroll!F77</f>
        <v>0</v>
      </c>
      <c r="R77" s="16">
        <f>IF(P77&lt;$R$2,N77, +payroll!F77 * $R$2)</f>
        <v>0</v>
      </c>
      <c r="T77" s="5">
        <f t="shared" si="7"/>
        <v>0</v>
      </c>
      <c r="V77" t="e">
        <f t="shared" si="8"/>
        <v>#DIV/0!</v>
      </c>
    </row>
    <row r="78" spans="1:22">
      <c r="A78" t="s">
        <v>122</v>
      </c>
      <c r="B78" t="s">
        <v>123</v>
      </c>
      <c r="C78" s="40">
        <v>-19057.47</v>
      </c>
      <c r="D78" s="40">
        <v>0</v>
      </c>
      <c r="E78" s="40">
        <v>0</v>
      </c>
      <c r="F78" s="16"/>
      <c r="G78" s="16">
        <f t="shared" si="10"/>
        <v>0</v>
      </c>
      <c r="H78" s="14">
        <v>1</v>
      </c>
      <c r="J78" s="16">
        <f t="shared" si="6"/>
        <v>0</v>
      </c>
      <c r="L78" s="3">
        <f t="shared" si="9"/>
        <v>0</v>
      </c>
      <c r="N78" s="16">
        <f>+L78*(assessment!$J$272*assessment!$F$3)</f>
        <v>0</v>
      </c>
      <c r="P78" s="6">
        <f>+N78/payroll!F78</f>
        <v>0</v>
      </c>
      <c r="R78" s="16">
        <f>IF(P78&lt;$R$2,N78, +payroll!F78 * $R$2)</f>
        <v>0</v>
      </c>
      <c r="T78" s="5">
        <f t="shared" si="7"/>
        <v>0</v>
      </c>
      <c r="V78" t="e">
        <f t="shared" si="8"/>
        <v>#DIV/0!</v>
      </c>
    </row>
    <row r="79" spans="1:22">
      <c r="A79" t="s">
        <v>124</v>
      </c>
      <c r="B79" t="s">
        <v>499</v>
      </c>
      <c r="C79" s="40">
        <v>0</v>
      </c>
      <c r="D79" s="40">
        <v>0</v>
      </c>
      <c r="E79" s="40">
        <v>0</v>
      </c>
      <c r="F79" s="16"/>
      <c r="G79" s="16">
        <f t="shared" si="10"/>
        <v>0</v>
      </c>
      <c r="H79" s="14">
        <v>1</v>
      </c>
      <c r="J79" s="16">
        <f t="shared" si="6"/>
        <v>0</v>
      </c>
      <c r="L79" s="3">
        <f t="shared" si="9"/>
        <v>0</v>
      </c>
      <c r="N79" s="16">
        <f>+L79*(assessment!$J$272*assessment!$F$3)</f>
        <v>0</v>
      </c>
      <c r="P79" s="6">
        <f>+N79/payroll!F79</f>
        <v>0</v>
      </c>
      <c r="R79" s="16">
        <f>IF(P79&lt;$R$2,N79, +payroll!F79 * $R$2)</f>
        <v>0</v>
      </c>
      <c r="T79" s="5">
        <f t="shared" si="7"/>
        <v>0</v>
      </c>
      <c r="V79" t="e">
        <f t="shared" si="8"/>
        <v>#DIV/0!</v>
      </c>
    </row>
    <row r="80" spans="1:22">
      <c r="A80" t="s">
        <v>125</v>
      </c>
      <c r="B80" t="s">
        <v>126</v>
      </c>
      <c r="C80" s="40">
        <v>995.08</v>
      </c>
      <c r="D80" s="40">
        <v>3089.16</v>
      </c>
      <c r="E80" s="40">
        <v>7689.55</v>
      </c>
      <c r="F80" s="16"/>
      <c r="G80" s="16">
        <f t="shared" si="10"/>
        <v>3924.5966666666668</v>
      </c>
      <c r="H80" s="14">
        <v>1</v>
      </c>
      <c r="J80" s="16">
        <f t="shared" si="6"/>
        <v>3924.5966666666668</v>
      </c>
      <c r="L80" s="3">
        <f t="shared" si="9"/>
        <v>1.0639328563974463E-4</v>
      </c>
      <c r="N80" s="16">
        <f>+L80*(assessment!$J$272*assessment!$F$3)</f>
        <v>3292.6314125437243</v>
      </c>
      <c r="P80" s="6">
        <f>+N80/payroll!F80</f>
        <v>5.4686307652202057E-4</v>
      </c>
      <c r="R80" s="16">
        <f>IF(P80&lt;$R$2,N80, +payroll!F80 * $R$2)</f>
        <v>3292.6314125437243</v>
      </c>
      <c r="T80" s="5">
        <f t="shared" si="7"/>
        <v>0</v>
      </c>
      <c r="V80">
        <f t="shared" si="8"/>
        <v>1</v>
      </c>
    </row>
    <row r="81" spans="1:22">
      <c r="A81" t="s">
        <v>482</v>
      </c>
      <c r="B81" t="s">
        <v>535</v>
      </c>
      <c r="C81" s="40">
        <v>0</v>
      </c>
      <c r="D81" s="40">
        <v>0</v>
      </c>
      <c r="E81" s="40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+L81*(assessment!$J$272*assessment!$F$3)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493</v>
      </c>
      <c r="C82" s="40">
        <v>0</v>
      </c>
      <c r="D82" s="40">
        <v>25687.3</v>
      </c>
      <c r="E82" s="40">
        <v>0</v>
      </c>
      <c r="F82" s="16"/>
      <c r="G82" s="16">
        <f t="shared" si="10"/>
        <v>8562.4333333333325</v>
      </c>
      <c r="H82" s="14">
        <v>1</v>
      </c>
      <c r="J82" s="16">
        <f t="shared" si="6"/>
        <v>8562.4333333333325</v>
      </c>
      <c r="L82" s="3">
        <f t="shared" si="9"/>
        <v>2.3212204788889659E-4</v>
      </c>
      <c r="N82" s="16">
        <f>+L82*(assessment!$J$272*assessment!$F$3)</f>
        <v>7183.652068147504</v>
      </c>
      <c r="P82" s="6">
        <f>+N82/payroll!F82</f>
        <v>7.9951109207284364E-4</v>
      </c>
      <c r="R82" s="16">
        <f>IF(P82&lt;$R$2,N82, +payroll!F82 * $R$2)</f>
        <v>7183.652068147504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40">
        <v>0</v>
      </c>
      <c r="D83" s="40">
        <v>0</v>
      </c>
      <c r="E83" s="40">
        <v>0</v>
      </c>
      <c r="F83" s="16"/>
      <c r="G83" s="16">
        <f t="shared" si="10"/>
        <v>0</v>
      </c>
      <c r="H83" s="14">
        <v>1</v>
      </c>
      <c r="J83" s="16">
        <f t="shared" si="6"/>
        <v>0</v>
      </c>
      <c r="L83" s="3">
        <f t="shared" si="9"/>
        <v>0</v>
      </c>
      <c r="N83" s="16">
        <f>+L83*(assessment!$J$272*assessment!$F$3)</f>
        <v>0</v>
      </c>
      <c r="P83" s="6">
        <f>+N83/payroll!F83</f>
        <v>0</v>
      </c>
      <c r="R83" s="16">
        <f>IF(P83&lt;$R$2,N83, +payroll!F83 * $R$2)</f>
        <v>0</v>
      </c>
      <c r="T83" s="5">
        <f t="shared" si="7"/>
        <v>0</v>
      </c>
      <c r="V83" t="e">
        <f t="shared" si="8"/>
        <v>#DIV/0!</v>
      </c>
    </row>
    <row r="84" spans="1:22">
      <c r="A84" t="s">
        <v>130</v>
      </c>
      <c r="B84" t="s">
        <v>536</v>
      </c>
      <c r="C84" s="40">
        <v>-2016.18</v>
      </c>
      <c r="D84" s="40">
        <v>0</v>
      </c>
      <c r="E84" s="40">
        <v>712.73</v>
      </c>
      <c r="F84" s="16"/>
      <c r="G84" s="16">
        <f t="shared" si="10"/>
        <v>0</v>
      </c>
      <c r="H84" s="14">
        <v>1</v>
      </c>
      <c r="J84" s="16">
        <f t="shared" si="6"/>
        <v>0</v>
      </c>
      <c r="L84" s="3">
        <f t="shared" si="9"/>
        <v>0</v>
      </c>
      <c r="N84" s="16">
        <f>+L84*(assessment!$J$272*assessment!$F$3)</f>
        <v>0</v>
      </c>
      <c r="P84" s="6">
        <f>+N84/payroll!F84</f>
        <v>0</v>
      </c>
      <c r="R84" s="16">
        <f>IF(P84&lt;$R$2,N84, +payroll!F84 * $R$2)</f>
        <v>0</v>
      </c>
      <c r="T84" s="5">
        <f t="shared" si="7"/>
        <v>0</v>
      </c>
      <c r="V84" t="e">
        <f t="shared" si="8"/>
        <v>#DIV/0!</v>
      </c>
    </row>
    <row r="85" spans="1:22">
      <c r="A85" t="s">
        <v>131</v>
      </c>
      <c r="B85" t="s">
        <v>132</v>
      </c>
      <c r="C85" s="40">
        <v>0</v>
      </c>
      <c r="D85" s="40">
        <v>0</v>
      </c>
      <c r="E85" s="40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+L85*(assessment!$J$272*assessment!$F$3)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134</v>
      </c>
      <c r="C86" s="40">
        <v>0</v>
      </c>
      <c r="D86" s="40">
        <v>0</v>
      </c>
      <c r="E86" s="40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+L86*(assessment!$J$272*assessment!$F$3)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135</v>
      </c>
      <c r="B87" t="s">
        <v>136</v>
      </c>
      <c r="C87" s="40">
        <v>0</v>
      </c>
      <c r="D87" s="40">
        <v>0</v>
      </c>
      <c r="E87" s="40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+L87*(assessment!$J$272*assessment!$F$3)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137</v>
      </c>
      <c r="B88" t="s">
        <v>138</v>
      </c>
      <c r="C88" s="40">
        <v>0</v>
      </c>
      <c r="D88" s="40">
        <v>1327.04</v>
      </c>
      <c r="E88" s="40">
        <v>731.44</v>
      </c>
      <c r="F88" s="16"/>
      <c r="G88" s="16">
        <f t="shared" si="10"/>
        <v>686.16</v>
      </c>
      <c r="H88" s="14">
        <v>1</v>
      </c>
      <c r="J88" s="16">
        <f t="shared" si="6"/>
        <v>686.16</v>
      </c>
      <c r="L88" s="3">
        <f t="shared" si="9"/>
        <v>1.8601355266545566E-5</v>
      </c>
      <c r="N88" s="16">
        <f>+L88*(assessment!$J$272*assessment!$F$3)</f>
        <v>575.66984888408956</v>
      </c>
      <c r="P88" s="6">
        <f>+N88/payroll!F88</f>
        <v>1.1863449170299981E-4</v>
      </c>
      <c r="R88" s="16">
        <f>IF(P88&lt;$R$2,N88, +payroll!F88 * $R$2)</f>
        <v>575.66984888408956</v>
      </c>
      <c r="T88" s="5">
        <f t="shared" si="7"/>
        <v>0</v>
      </c>
      <c r="V88">
        <f t="shared" si="8"/>
        <v>1</v>
      </c>
    </row>
    <row r="89" spans="1:22">
      <c r="A89" t="s">
        <v>139</v>
      </c>
      <c r="B89" t="s">
        <v>140</v>
      </c>
      <c r="C89" s="40">
        <v>0</v>
      </c>
      <c r="D89" s="40">
        <v>0</v>
      </c>
      <c r="E89" s="40">
        <v>0</v>
      </c>
      <c r="F89" s="16"/>
      <c r="G89" s="16">
        <f t="shared" si="10"/>
        <v>0</v>
      </c>
      <c r="H89" s="14">
        <v>1</v>
      </c>
      <c r="J89" s="16">
        <f t="shared" si="6"/>
        <v>0</v>
      </c>
      <c r="L89" s="3">
        <f t="shared" si="9"/>
        <v>0</v>
      </c>
      <c r="N89" s="16">
        <f>+L89*(assessment!$J$272*assessment!$F$3)</f>
        <v>0</v>
      </c>
      <c r="P89" s="6">
        <f>+N89/payroll!F89</f>
        <v>0</v>
      </c>
      <c r="R89" s="16">
        <f>IF(P89&lt;$R$2,N89, +payroll!F89 * $R$2)</f>
        <v>0</v>
      </c>
      <c r="T89" s="5">
        <f t="shared" si="7"/>
        <v>0</v>
      </c>
      <c r="V89" t="e">
        <f t="shared" si="8"/>
        <v>#DIV/0!</v>
      </c>
    </row>
    <row r="90" spans="1:22">
      <c r="A90" s="50" t="s">
        <v>141</v>
      </c>
      <c r="B90" s="50" t="s">
        <v>142</v>
      </c>
      <c r="C90" s="40">
        <v>10302540.76</v>
      </c>
      <c r="D90" s="40">
        <v>10551339.08</v>
      </c>
      <c r="E90" s="40">
        <v>10726418.720000001</v>
      </c>
      <c r="F90" s="16"/>
      <c r="G90" s="16">
        <f t="shared" si="10"/>
        <v>10526766.186666667</v>
      </c>
      <c r="H90" s="14">
        <v>1</v>
      </c>
      <c r="J90" s="16">
        <f t="shared" ref="J90:J93" si="11">+G90*H90</f>
        <v>10526766.186666667</v>
      </c>
      <c r="L90" s="3">
        <f t="shared" si="9"/>
        <v>0.28537384523441439</v>
      </c>
      <c r="N90" s="16">
        <f>+L90*(assessment!$J$272*assessment!$F$3)</f>
        <v>8831674.6821682174</v>
      </c>
      <c r="P90" s="6">
        <f>+N90/payroll!F90</f>
        <v>5.2321995872320042E-3</v>
      </c>
      <c r="R90" s="16">
        <f>IF(P90&lt;$R$2,N90, +payroll!F90 * $R$2)</f>
        <v>8831674.6821682174</v>
      </c>
      <c r="T90" s="5">
        <f t="shared" ref="T90:T93" si="12">+N90-R90</f>
        <v>0</v>
      </c>
      <c r="V90">
        <f t="shared" ref="V90:V93" si="13">+R90/N90</f>
        <v>1</v>
      </c>
    </row>
    <row r="91" spans="1:22">
      <c r="A91" t="s">
        <v>143</v>
      </c>
      <c r="B91" t="s">
        <v>485</v>
      </c>
      <c r="C91" s="40">
        <v>1203700.3600000001</v>
      </c>
      <c r="D91" s="40">
        <v>1264426.02</v>
      </c>
      <c r="E91" s="40">
        <v>1235747.51</v>
      </c>
      <c r="F91" s="16"/>
      <c r="G91" s="16">
        <f t="shared" si="10"/>
        <v>1234624.6299999999</v>
      </c>
      <c r="H91" s="14">
        <v>1</v>
      </c>
      <c r="J91" s="16">
        <f>+G91*H91</f>
        <v>1234624.6299999999</v>
      </c>
      <c r="L91" s="3">
        <f t="shared" si="9"/>
        <v>3.3469877817793765E-2</v>
      </c>
      <c r="N91" s="16">
        <f>+L91*(assessment!$J$272*assessment!$F$3)</f>
        <v>1035816.9729810468</v>
      </c>
      <c r="P91" s="6">
        <f>+N91/payroll!F91</f>
        <v>2.2042284937026837E-3</v>
      </c>
      <c r="R91" s="16">
        <f>IF(P91&lt;$R$2,N91, +payroll!F91 * $R$2)</f>
        <v>1035816.9729810468</v>
      </c>
      <c r="T91" s="5">
        <f>+N91-R91</f>
        <v>0</v>
      </c>
      <c r="V91">
        <f>+R91/N91</f>
        <v>1</v>
      </c>
    </row>
    <row r="92" spans="1:22">
      <c r="A92" t="s">
        <v>144</v>
      </c>
      <c r="B92" t="s">
        <v>145</v>
      </c>
      <c r="C92" s="40">
        <v>8.65</v>
      </c>
      <c r="D92" s="40">
        <v>5053.92</v>
      </c>
      <c r="E92" s="40">
        <v>28760.47</v>
      </c>
      <c r="F92" s="16"/>
      <c r="G92" s="16">
        <f t="shared" si="10"/>
        <v>11274.346666666666</v>
      </c>
      <c r="H92" s="14">
        <v>1</v>
      </c>
      <c r="J92" s="16">
        <f>+G92*H92</f>
        <v>11274.346666666666</v>
      </c>
      <c r="L92" s="3">
        <f t="shared" si="9"/>
        <v>3.056402701190108E-4</v>
      </c>
      <c r="N92" s="16">
        <f>+L92*(assessment!$J$272*assessment!$F$3)</f>
        <v>9458.874667521919</v>
      </c>
      <c r="P92" s="6">
        <f>+N92/payroll!F92</f>
        <v>1.0282853422758814E-2</v>
      </c>
      <c r="R92" s="16">
        <f>IF(P92&lt;$R$2,N92, +payroll!F92 * $R$2)</f>
        <v>9458.874667521919</v>
      </c>
      <c r="T92" s="5">
        <f>+N92-R92</f>
        <v>0</v>
      </c>
      <c r="V92">
        <f>+R92/N92</f>
        <v>1</v>
      </c>
    </row>
    <row r="93" spans="1:22">
      <c r="A93" t="s">
        <v>484</v>
      </c>
      <c r="B93" t="s">
        <v>489</v>
      </c>
      <c r="C93" s="40">
        <v>535869.4</v>
      </c>
      <c r="D93" s="40">
        <v>425177.81</v>
      </c>
      <c r="E93" s="40">
        <v>352165.8</v>
      </c>
      <c r="F93" s="16"/>
      <c r="G93" s="16">
        <f t="shared" si="10"/>
        <v>437737.67</v>
      </c>
      <c r="H93" s="14">
        <v>1</v>
      </c>
      <c r="J93" s="16">
        <f t="shared" si="11"/>
        <v>437737.67</v>
      </c>
      <c r="L93" s="3">
        <f t="shared" si="9"/>
        <v>1.1866786045849197E-2</v>
      </c>
      <c r="N93" s="16">
        <f>+L93*(assessment!$J$272*assessment!$F$3)</f>
        <v>367250.17246673297</v>
      </c>
      <c r="P93" s="6">
        <f>+N93/payroll!F93</f>
        <v>4.9059838133227113E-3</v>
      </c>
      <c r="R93" s="16">
        <f>IF(P93&lt;$R$2,N93, +payroll!F93 * $R$2)</f>
        <v>367250.17246673297</v>
      </c>
      <c r="T93" s="5">
        <f t="shared" si="12"/>
        <v>0</v>
      </c>
      <c r="V93">
        <f t="shared" si="13"/>
        <v>1</v>
      </c>
    </row>
    <row r="94" spans="1:22">
      <c r="A94" t="s">
        <v>506</v>
      </c>
      <c r="B94" t="s">
        <v>547</v>
      </c>
      <c r="C94" s="40">
        <v>0</v>
      </c>
      <c r="D94" s="40">
        <v>0</v>
      </c>
      <c r="E94" s="40">
        <v>283.95</v>
      </c>
      <c r="F94" s="16"/>
      <c r="G94" s="16">
        <f t="shared" si="10"/>
        <v>94.649999999999991</v>
      </c>
      <c r="H94" s="14">
        <v>1</v>
      </c>
      <c r="J94" s="16">
        <f>+G94*H94</f>
        <v>94.649999999999991</v>
      </c>
      <c r="L94" s="3">
        <f t="shared" si="9"/>
        <v>2.5659004838208838E-6</v>
      </c>
      <c r="N94" s="16">
        <f>+L94*(assessment!$J$272*assessment!$F$3)</f>
        <v>79.408813100266812</v>
      </c>
      <c r="P94" s="6">
        <f>+N94/payroll!F94</f>
        <v>2.609007073085786E-5</v>
      </c>
      <c r="R94" s="16">
        <f>IF(P94&lt;$R$2,N94, +payroll!F94 * $R$2)</f>
        <v>79.408813100266812</v>
      </c>
      <c r="T94" s="5">
        <f>+N94-R94</f>
        <v>0</v>
      </c>
      <c r="V94">
        <f>+R94/N94</f>
        <v>1</v>
      </c>
    </row>
    <row r="95" spans="1:22">
      <c r="A95" t="s">
        <v>146</v>
      </c>
      <c r="B95" t="s">
        <v>147</v>
      </c>
      <c r="C95" s="40">
        <v>44657.87</v>
      </c>
      <c r="D95" s="40">
        <v>8348.67</v>
      </c>
      <c r="E95" s="40">
        <v>22179.29</v>
      </c>
      <c r="F95" s="16"/>
      <c r="G95" s="16">
        <f t="shared" si="10"/>
        <v>25061.943333333333</v>
      </c>
      <c r="H95" s="14">
        <v>1</v>
      </c>
      <c r="J95" s="16">
        <f t="shared" si="6"/>
        <v>25061.943333333333</v>
      </c>
      <c r="L95" s="3">
        <f t="shared" si="9"/>
        <v>6.7941312756990572E-4</v>
      </c>
      <c r="N95" s="16">
        <f>+L95*(assessment!$J$272*assessment!$F$3)</f>
        <v>21026.298722516054</v>
      </c>
      <c r="P95" s="6">
        <f>+N95/payroll!F95</f>
        <v>6.3545243701862658E-4</v>
      </c>
      <c r="R95" s="16">
        <f>IF(P95&lt;$R$2,N95, +payroll!F95 * $R$2)</f>
        <v>21026.298722516054</v>
      </c>
      <c r="T95" s="5">
        <f t="shared" si="7"/>
        <v>0</v>
      </c>
      <c r="V95">
        <f t="shared" si="8"/>
        <v>1</v>
      </c>
    </row>
    <row r="96" spans="1:22">
      <c r="A96" t="s">
        <v>148</v>
      </c>
      <c r="B96" t="s">
        <v>149</v>
      </c>
      <c r="C96" s="40">
        <v>14732.9</v>
      </c>
      <c r="D96" s="40">
        <v>97268.78</v>
      </c>
      <c r="E96" s="40">
        <v>25975.13</v>
      </c>
      <c r="F96" s="16"/>
      <c r="G96" s="16">
        <f t="shared" si="10"/>
        <v>45992.27</v>
      </c>
      <c r="H96" s="14">
        <v>1</v>
      </c>
      <c r="J96" s="16">
        <f t="shared" si="6"/>
        <v>45992.27</v>
      </c>
      <c r="L96" s="3">
        <f t="shared" si="9"/>
        <v>1.2468207907556335E-3</v>
      </c>
      <c r="N96" s="16">
        <f>+L96*(assessment!$J$272*assessment!$F$3)</f>
        <v>38586.281801236219</v>
      </c>
      <c r="P96" s="6">
        <f>+N96/payroll!F96</f>
        <v>4.7031195553948633E-3</v>
      </c>
      <c r="R96" s="16">
        <f>IF(P96&lt;$R$2,N96, +payroll!F96 * $R$2)</f>
        <v>38586.281801236219</v>
      </c>
      <c r="T96" s="5">
        <f t="shared" si="7"/>
        <v>0</v>
      </c>
      <c r="V96">
        <f t="shared" si="8"/>
        <v>1</v>
      </c>
    </row>
    <row r="97" spans="1:22">
      <c r="A97" t="s">
        <v>150</v>
      </c>
      <c r="B97" t="s">
        <v>151</v>
      </c>
      <c r="C97" s="40">
        <v>0</v>
      </c>
      <c r="D97" s="40">
        <v>0</v>
      </c>
      <c r="E97" s="40">
        <v>0</v>
      </c>
      <c r="F97" s="16"/>
      <c r="G97" s="16">
        <f t="shared" si="10"/>
        <v>0</v>
      </c>
      <c r="H97" s="14">
        <v>1</v>
      </c>
      <c r="J97" s="16">
        <f t="shared" si="6"/>
        <v>0</v>
      </c>
      <c r="L97" s="3">
        <f t="shared" si="9"/>
        <v>0</v>
      </c>
      <c r="N97" s="16">
        <f>+L97*(assessment!$J$272*assessment!$F$3)</f>
        <v>0</v>
      </c>
      <c r="P97" s="6">
        <f>+N97/payroll!F97</f>
        <v>0</v>
      </c>
      <c r="R97" s="16">
        <f>IF(P97&lt;$R$2,N97, +payroll!F97 * $R$2)</f>
        <v>0</v>
      </c>
      <c r="T97" s="5">
        <f t="shared" si="7"/>
        <v>0</v>
      </c>
      <c r="V97" t="e">
        <f t="shared" si="8"/>
        <v>#DIV/0!</v>
      </c>
    </row>
    <row r="98" spans="1:22">
      <c r="A98" t="s">
        <v>152</v>
      </c>
      <c r="B98" t="s">
        <v>153</v>
      </c>
      <c r="C98" s="40">
        <v>3372.63</v>
      </c>
      <c r="D98" s="40">
        <v>22521.040000000001</v>
      </c>
      <c r="E98" s="40">
        <v>45471.24</v>
      </c>
      <c r="F98" s="16"/>
      <c r="G98" s="16">
        <f t="shared" si="10"/>
        <v>23788.303333333333</v>
      </c>
      <c r="H98" s="14">
        <v>1</v>
      </c>
      <c r="J98" s="16">
        <f t="shared" si="6"/>
        <v>23788.303333333333</v>
      </c>
      <c r="L98" s="3">
        <f t="shared" ref="L98:L129" si="14">+J98/$J$264</f>
        <v>6.4488556822269361E-4</v>
      </c>
      <c r="N98" s="16">
        <f>+L98*(assessment!$J$272*assessment!$F$3)</f>
        <v>19957.748899832233</v>
      </c>
      <c r="P98" s="6">
        <f>+N98/payroll!F98</f>
        <v>1.1006335192987552E-3</v>
      </c>
      <c r="R98" s="16">
        <f>IF(P98&lt;$R$2,N98, +payroll!F98 * $R$2)</f>
        <v>19957.748899832233</v>
      </c>
      <c r="T98" s="5">
        <f t="shared" si="7"/>
        <v>0</v>
      </c>
      <c r="V98">
        <f t="shared" si="8"/>
        <v>1</v>
      </c>
    </row>
    <row r="99" spans="1:22">
      <c r="A99" t="s">
        <v>154</v>
      </c>
      <c r="B99" t="s">
        <v>479</v>
      </c>
      <c r="C99" s="40">
        <v>178628.24</v>
      </c>
      <c r="D99" s="40">
        <v>97694.57</v>
      </c>
      <c r="E99" s="40">
        <v>135883.76999999999</v>
      </c>
      <c r="F99" s="16"/>
      <c r="G99" s="16">
        <f t="shared" si="10"/>
        <v>137402.19333333333</v>
      </c>
      <c r="H99" s="14">
        <v>1</v>
      </c>
      <c r="J99" s="16">
        <f t="shared" si="6"/>
        <v>137402.19333333333</v>
      </c>
      <c r="L99" s="3">
        <f t="shared" si="14"/>
        <v>3.7248848848605454E-3</v>
      </c>
      <c r="N99" s="16">
        <f>+L99*(assessment!$J$272*assessment!$F$3)</f>
        <v>115276.75742180024</v>
      </c>
      <c r="P99" s="6">
        <f>+N99/payroll!F99</f>
        <v>7.1936413641518861E-4</v>
      </c>
      <c r="R99" s="16">
        <f>IF(P99&lt;$R$2,N99, +payroll!F99 * $R$2)</f>
        <v>115276.75742180024</v>
      </c>
      <c r="T99" s="5">
        <f t="shared" si="7"/>
        <v>0</v>
      </c>
      <c r="V99">
        <f t="shared" si="8"/>
        <v>1</v>
      </c>
    </row>
    <row r="100" spans="1:22">
      <c r="A100" t="s">
        <v>155</v>
      </c>
      <c r="B100" t="s">
        <v>537</v>
      </c>
      <c r="C100" s="40">
        <v>0</v>
      </c>
      <c r="D100" s="40">
        <v>623.94000000000005</v>
      </c>
      <c r="E100" s="40">
        <v>336.97</v>
      </c>
      <c r="F100" s="16"/>
      <c r="G100" s="16">
        <f t="shared" si="10"/>
        <v>320.30333333333334</v>
      </c>
      <c r="H100" s="14">
        <v>1</v>
      </c>
      <c r="J100" s="16">
        <f>+G100*H100</f>
        <v>320.30333333333334</v>
      </c>
      <c r="L100" s="3">
        <f t="shared" si="14"/>
        <v>8.6832168829312409E-6</v>
      </c>
      <c r="N100" s="16">
        <f>+L100*(assessment!$J$272*assessment!$F$3)</f>
        <v>268.72591159069339</v>
      </c>
      <c r="P100" s="6">
        <f>+N100/payroll!F100</f>
        <v>6.8467879549037939E-5</v>
      </c>
      <c r="R100" s="16">
        <f>IF(P100&lt;$R$2,N100, +payroll!F100 * $R$2)</f>
        <v>268.72591159069339</v>
      </c>
      <c r="T100" s="5">
        <f>+N100-R100</f>
        <v>0</v>
      </c>
      <c r="V100">
        <f>+R100/N100</f>
        <v>1</v>
      </c>
    </row>
    <row r="101" spans="1:22">
      <c r="A101" t="s">
        <v>509</v>
      </c>
      <c r="B101" t="s">
        <v>510</v>
      </c>
      <c r="C101" s="40">
        <v>17255.3</v>
      </c>
      <c r="D101" s="40">
        <v>17813.060000000001</v>
      </c>
      <c r="E101" s="40">
        <v>32855.919999999998</v>
      </c>
      <c r="F101" s="16"/>
      <c r="G101" s="16">
        <f t="shared" si="10"/>
        <v>22641.426666666666</v>
      </c>
      <c r="H101" s="14">
        <v>1</v>
      </c>
      <c r="J101" s="16">
        <f>+G101*H101</f>
        <v>22641.426666666666</v>
      </c>
      <c r="L101" s="3">
        <f t="shared" si="14"/>
        <v>6.1379448112408943E-4</v>
      </c>
      <c r="N101" s="16">
        <f>+L101*(assessment!$J$272*assessment!$F$3)</f>
        <v>18995.550116183102</v>
      </c>
      <c r="P101" s="6">
        <f>+N101/payroll!F101</f>
        <v>5.0286166969234461E-4</v>
      </c>
      <c r="R101" s="16">
        <f>IF(P101&lt;$R$2,N101, +payroll!F101 * $R$2)</f>
        <v>18995.550116183102</v>
      </c>
      <c r="T101" s="5">
        <f>+N101-R101</f>
        <v>0</v>
      </c>
      <c r="V101">
        <f>+R101/N101</f>
        <v>1</v>
      </c>
    </row>
    <row r="102" spans="1:22">
      <c r="A102" t="s">
        <v>553</v>
      </c>
      <c r="B102" t="s">
        <v>554</v>
      </c>
      <c r="C102" s="40">
        <v>3313583.01</v>
      </c>
      <c r="D102" s="40">
        <v>4156804.75</v>
      </c>
      <c r="E102" s="40">
        <v>3452252.39</v>
      </c>
      <c r="F102" s="16"/>
      <c r="G102" s="16">
        <f t="shared" si="10"/>
        <v>3640880.0500000003</v>
      </c>
      <c r="H102" s="14">
        <v>1</v>
      </c>
      <c r="J102" s="16">
        <f t="shared" ref="J102:J164" si="15">+G102*H102</f>
        <v>3640880.0500000003</v>
      </c>
      <c r="L102" s="3">
        <f t="shared" si="14"/>
        <v>9.870191105999794E-2</v>
      </c>
      <c r="N102" s="16">
        <f>+L102*(assessment!$J$272*assessment!$F$3)</f>
        <v>3054600.7756042276</v>
      </c>
      <c r="P102" s="6">
        <f>+N102/payroll!F102</f>
        <v>2.6638274465473705E-2</v>
      </c>
      <c r="R102" s="16">
        <f>IF(P102&lt;$R$2,N102, +payroll!F102 * $R$2)</f>
        <v>3054600.7756042276</v>
      </c>
      <c r="T102" s="5">
        <f t="shared" ref="T102:T164" si="16">+N102-R102</f>
        <v>0</v>
      </c>
      <c r="V102">
        <f t="shared" ref="V102:V164" si="17">+R102/N102</f>
        <v>1</v>
      </c>
    </row>
    <row r="103" spans="1:22">
      <c r="A103" t="s">
        <v>156</v>
      </c>
      <c r="B103" t="s">
        <v>157</v>
      </c>
      <c r="C103" s="40">
        <v>11522152.82</v>
      </c>
      <c r="D103" s="40">
        <v>12076390.27</v>
      </c>
      <c r="E103" s="40">
        <v>11843796.82</v>
      </c>
      <c r="F103" s="16"/>
      <c r="G103" s="16">
        <f t="shared" si="10"/>
        <v>11814113.303333333</v>
      </c>
      <c r="H103" s="14">
        <v>1</v>
      </c>
      <c r="J103" s="16">
        <f t="shared" si="15"/>
        <v>11814113.303333333</v>
      </c>
      <c r="L103" s="3">
        <f t="shared" si="14"/>
        <v>0.32027299567815892</v>
      </c>
      <c r="N103" s="16">
        <f>+L103*(assessment!$J$272*assessment!$F$3)</f>
        <v>9911724.4083441366</v>
      </c>
      <c r="P103" s="6">
        <f>+N103/payroll!F103</f>
        <v>6.7596719856832148E-3</v>
      </c>
      <c r="R103" s="16">
        <f>IF(P103&lt;$R$2,N103, +payroll!F103 * $R$2)</f>
        <v>9911724.4083441366</v>
      </c>
      <c r="T103" s="5">
        <f t="shared" si="16"/>
        <v>0</v>
      </c>
      <c r="V103">
        <f t="shared" si="17"/>
        <v>1</v>
      </c>
    </row>
    <row r="104" spans="1:22">
      <c r="A104" t="s">
        <v>514</v>
      </c>
      <c r="B104" t="s">
        <v>513</v>
      </c>
      <c r="C104" s="40">
        <v>92668.04</v>
      </c>
      <c r="D104" s="40">
        <v>97410.09</v>
      </c>
      <c r="E104" s="40">
        <v>179461.8</v>
      </c>
      <c r="F104" s="16"/>
      <c r="G104" s="16">
        <f t="shared" si="10"/>
        <v>123179.97666666667</v>
      </c>
      <c r="H104" s="14">
        <v>1</v>
      </c>
      <c r="J104" s="16">
        <f>+G104*H104</f>
        <v>123179.97666666667</v>
      </c>
      <c r="L104" s="3">
        <f t="shared" si="14"/>
        <v>3.3393297593876936E-3</v>
      </c>
      <c r="N104" s="16">
        <f>+L104*(assessment!$J$272*assessment!$F$3)</f>
        <v>103344.69883590662</v>
      </c>
      <c r="P104" s="6">
        <f>+N104/payroll!F104</f>
        <v>2.080517992192788E-3</v>
      </c>
      <c r="R104" s="16">
        <f>IF(P104&lt;$R$2,N104, +payroll!F104 * $R$2)</f>
        <v>103344.69883590662</v>
      </c>
      <c r="T104" s="5">
        <f>+N104-R104</f>
        <v>0</v>
      </c>
      <c r="V104">
        <f>+R104/N104</f>
        <v>1</v>
      </c>
    </row>
    <row r="105" spans="1:22">
      <c r="A105" t="s">
        <v>158</v>
      </c>
      <c r="B105" t="s">
        <v>159</v>
      </c>
      <c r="C105" s="40">
        <v>3965.47</v>
      </c>
      <c r="D105" s="40">
        <v>12197.28</v>
      </c>
      <c r="E105" s="40">
        <v>14792.42</v>
      </c>
      <c r="F105" s="16"/>
      <c r="G105" s="16">
        <f t="shared" si="10"/>
        <v>10318.39</v>
      </c>
      <c r="H105" s="14">
        <v>1</v>
      </c>
      <c r="J105" s="16">
        <f t="shared" si="15"/>
        <v>10318.39</v>
      </c>
      <c r="L105" s="3">
        <f t="shared" si="14"/>
        <v>2.7972490114371441E-4</v>
      </c>
      <c r="N105" s="16">
        <f>+L105*(assessment!$J$272*assessment!$F$3)</f>
        <v>8656.8526466525309</v>
      </c>
      <c r="P105" s="6">
        <f>+N105/payroll!F105</f>
        <v>1.3701597999587293E-4</v>
      </c>
      <c r="R105" s="16">
        <f>IF(P105&lt;$R$2,N105, +payroll!F105 * $R$2)</f>
        <v>8656.8526466525309</v>
      </c>
      <c r="T105" s="5">
        <f t="shared" si="16"/>
        <v>0</v>
      </c>
      <c r="V105">
        <f t="shared" si="17"/>
        <v>1</v>
      </c>
    </row>
    <row r="106" spans="1:22">
      <c r="A106" t="s">
        <v>160</v>
      </c>
      <c r="B106" t="s">
        <v>161</v>
      </c>
      <c r="C106" s="40">
        <v>146633.37</v>
      </c>
      <c r="D106" s="40">
        <v>156758.84</v>
      </c>
      <c r="E106" s="40">
        <v>101559.9</v>
      </c>
      <c r="F106" s="16"/>
      <c r="G106" s="16">
        <f t="shared" si="10"/>
        <v>134984.03666666665</v>
      </c>
      <c r="H106" s="14">
        <v>1</v>
      </c>
      <c r="J106" s="16">
        <f t="shared" si="15"/>
        <v>134984.03666666665</v>
      </c>
      <c r="L106" s="3">
        <f t="shared" si="14"/>
        <v>3.6593302164933533E-3</v>
      </c>
      <c r="N106" s="16">
        <f>+L106*(assessment!$J$272*assessment!$F$3)</f>
        <v>113247.9887922123</v>
      </c>
      <c r="P106" s="6">
        <f>+N106/payroll!F106</f>
        <v>1.6534576837970341E-3</v>
      </c>
      <c r="R106" s="16">
        <f>IF(P106&lt;$R$2,N106, +payroll!F106 * $R$2)</f>
        <v>113247.9887922123</v>
      </c>
      <c r="T106" s="5">
        <f t="shared" si="16"/>
        <v>0</v>
      </c>
      <c r="V106">
        <f t="shared" si="17"/>
        <v>1</v>
      </c>
    </row>
    <row r="107" spans="1:22">
      <c r="A107" t="s">
        <v>162</v>
      </c>
      <c r="B107" t="s">
        <v>163</v>
      </c>
      <c r="C107" s="40">
        <v>208361.78</v>
      </c>
      <c r="D107" s="40">
        <v>188735.18</v>
      </c>
      <c r="E107" s="40">
        <v>154722.28</v>
      </c>
      <c r="F107" s="16"/>
      <c r="G107" s="16">
        <f t="shared" si="10"/>
        <v>183939.74666666667</v>
      </c>
      <c r="H107" s="14">
        <v>1</v>
      </c>
      <c r="J107" s="16">
        <f t="shared" si="15"/>
        <v>183939.74666666667</v>
      </c>
      <c r="L107" s="3">
        <f t="shared" si="14"/>
        <v>4.9864879552656187E-3</v>
      </c>
      <c r="N107" s="16">
        <f>+L107*(assessment!$J$272*assessment!$F$3)</f>
        <v>154320.51732449824</v>
      </c>
      <c r="P107" s="6">
        <f>+N107/payroll!F107</f>
        <v>2.117362562803655E-3</v>
      </c>
      <c r="R107" s="16">
        <f>IF(P107&lt;$R$2,N107, +payroll!F107 * $R$2)</f>
        <v>154320.51732449824</v>
      </c>
      <c r="T107" s="5">
        <f t="shared" si="16"/>
        <v>0</v>
      </c>
      <c r="V107">
        <f t="shared" si="17"/>
        <v>1</v>
      </c>
    </row>
    <row r="108" spans="1:22">
      <c r="A108" t="s">
        <v>164</v>
      </c>
      <c r="B108" t="s">
        <v>165</v>
      </c>
      <c r="C108" s="40">
        <v>432380.35</v>
      </c>
      <c r="D108" s="40">
        <v>595664.48999999953</v>
      </c>
      <c r="E108" s="40">
        <v>459488.85</v>
      </c>
      <c r="F108" s="16"/>
      <c r="G108" s="16">
        <f t="shared" si="10"/>
        <v>495844.56333333318</v>
      </c>
      <c r="H108" s="14">
        <v>1</v>
      </c>
      <c r="J108" s="16">
        <f t="shared" si="15"/>
        <v>495844.56333333318</v>
      </c>
      <c r="L108" s="3">
        <f t="shared" si="14"/>
        <v>1.3442026465472314E-2</v>
      </c>
      <c r="N108" s="16">
        <f>+L108*(assessment!$J$272*assessment!$F$3)</f>
        <v>416000.29853692622</v>
      </c>
      <c r="P108" s="6">
        <f>+N108/payroll!F108</f>
        <v>9.1171169684943194E-4</v>
      </c>
      <c r="R108" s="16">
        <f>IF(P108&lt;$R$2,N108, +payroll!F108 * $R$2)</f>
        <v>416000.29853692622</v>
      </c>
      <c r="T108" s="5">
        <f t="shared" si="16"/>
        <v>0</v>
      </c>
      <c r="V108">
        <f t="shared" si="17"/>
        <v>1</v>
      </c>
    </row>
    <row r="109" spans="1:22">
      <c r="A109" t="s">
        <v>166</v>
      </c>
      <c r="B109" t="s">
        <v>167</v>
      </c>
      <c r="C109" s="40">
        <v>81425.31</v>
      </c>
      <c r="D109" s="40">
        <v>60142.709999999992</v>
      </c>
      <c r="E109" s="40">
        <v>104733.65</v>
      </c>
      <c r="F109" s="16"/>
      <c r="G109" s="16">
        <f t="shared" si="10"/>
        <v>82100.556666666656</v>
      </c>
      <c r="H109" s="14">
        <v>1</v>
      </c>
      <c r="J109" s="16">
        <f t="shared" si="15"/>
        <v>82100.556666666656</v>
      </c>
      <c r="L109" s="3">
        <f t="shared" si="14"/>
        <v>2.2256931650603685E-3</v>
      </c>
      <c r="N109" s="16">
        <f>+L109*(assessment!$J$272*assessment!$F$3)</f>
        <v>68880.166505770714</v>
      </c>
      <c r="P109" s="6">
        <f>+N109/payroll!F109</f>
        <v>6.4793905778894132E-4</v>
      </c>
      <c r="R109" s="16">
        <f>IF(P109&lt;$R$2,N109, +payroll!F109 * $R$2)</f>
        <v>68880.166505770714</v>
      </c>
      <c r="T109" s="5">
        <f t="shared" si="16"/>
        <v>0</v>
      </c>
      <c r="V109">
        <f t="shared" si="17"/>
        <v>1</v>
      </c>
    </row>
    <row r="110" spans="1:22">
      <c r="A110" t="s">
        <v>168</v>
      </c>
      <c r="B110" t="s">
        <v>169</v>
      </c>
      <c r="C110" s="40">
        <v>442767.32</v>
      </c>
      <c r="D110" s="40">
        <v>448964.69000000134</v>
      </c>
      <c r="E110" s="40">
        <v>455692.45</v>
      </c>
      <c r="F110" s="16"/>
      <c r="G110" s="16">
        <f t="shared" si="10"/>
        <v>449141.4866666671</v>
      </c>
      <c r="H110" s="14">
        <v>1</v>
      </c>
      <c r="J110" s="16">
        <f t="shared" si="15"/>
        <v>449141.4866666671</v>
      </c>
      <c r="L110" s="3">
        <f t="shared" si="14"/>
        <v>1.2175936164205306E-2</v>
      </c>
      <c r="N110" s="16">
        <f>+L110*(assessment!$J$272*assessment!$F$3)</f>
        <v>376817.66899407655</v>
      </c>
      <c r="P110" s="6">
        <f>+N110/payroll!F110</f>
        <v>1.0360959291081655E-3</v>
      </c>
      <c r="R110" s="16">
        <f>IF(P110&lt;$R$2,N110, +payroll!F110 * $R$2)</f>
        <v>376817.66899407655</v>
      </c>
      <c r="T110" s="5">
        <f t="shared" si="16"/>
        <v>0</v>
      </c>
      <c r="V110">
        <f t="shared" si="17"/>
        <v>1</v>
      </c>
    </row>
    <row r="111" spans="1:22">
      <c r="A111" t="s">
        <v>170</v>
      </c>
      <c r="B111" t="s">
        <v>171</v>
      </c>
      <c r="C111" s="40">
        <v>58183.8</v>
      </c>
      <c r="D111" s="40">
        <v>34434.289999999994</v>
      </c>
      <c r="E111" s="40">
        <v>23781.13</v>
      </c>
      <c r="F111" s="16"/>
      <c r="G111" s="16">
        <f t="shared" si="10"/>
        <v>38799.74</v>
      </c>
      <c r="H111" s="14">
        <v>1</v>
      </c>
      <c r="J111" s="16">
        <f t="shared" si="15"/>
        <v>38799.74</v>
      </c>
      <c r="L111" s="3">
        <f t="shared" si="14"/>
        <v>1.0518359391244005E-3</v>
      </c>
      <c r="N111" s="16">
        <f>+L111*(assessment!$J$272*assessment!$F$3)</f>
        <v>32551.941912297374</v>
      </c>
      <c r="P111" s="6">
        <f>+N111/payroll!F111</f>
        <v>3.7343351661882254E-4</v>
      </c>
      <c r="R111" s="16">
        <f>IF(P111&lt;$R$2,N111, +payroll!F111 * $R$2)</f>
        <v>32551.941912297374</v>
      </c>
      <c r="T111" s="5">
        <f t="shared" si="16"/>
        <v>0</v>
      </c>
      <c r="V111">
        <f t="shared" si="17"/>
        <v>1</v>
      </c>
    </row>
    <row r="112" spans="1:22">
      <c r="A112" t="s">
        <v>172</v>
      </c>
      <c r="B112" t="s">
        <v>173</v>
      </c>
      <c r="C112" s="40">
        <v>56337.45</v>
      </c>
      <c r="D112" s="40">
        <v>117144.40000000021</v>
      </c>
      <c r="E112" s="40">
        <v>46011.71</v>
      </c>
      <c r="F112" s="16"/>
      <c r="G112" s="16">
        <f t="shared" si="10"/>
        <v>73164.520000000062</v>
      </c>
      <c r="H112" s="14">
        <v>1</v>
      </c>
      <c r="J112" s="16">
        <f t="shared" si="15"/>
        <v>73164.520000000062</v>
      </c>
      <c r="L112" s="3">
        <f t="shared" si="14"/>
        <v>1.9834429716484195E-3</v>
      </c>
      <c r="N112" s="16">
        <f>+L112*(assessment!$J$272*assessment!$F$3)</f>
        <v>61383.071254630093</v>
      </c>
      <c r="P112" s="6">
        <f>+N112/payroll!F112</f>
        <v>1.5398634105921437E-3</v>
      </c>
      <c r="R112" s="16">
        <f>IF(P112&lt;$R$2,N112, +payroll!F112 * $R$2)</f>
        <v>61383.071254630093</v>
      </c>
      <c r="T112" s="5">
        <f t="shared" si="16"/>
        <v>0</v>
      </c>
      <c r="V112">
        <f t="shared" si="17"/>
        <v>1</v>
      </c>
    </row>
    <row r="113" spans="1:22">
      <c r="A113" t="s">
        <v>174</v>
      </c>
      <c r="B113" t="s">
        <v>175</v>
      </c>
      <c r="C113" s="40">
        <v>58749.1</v>
      </c>
      <c r="D113" s="40">
        <v>10470.98</v>
      </c>
      <c r="E113" s="40">
        <v>9264.17</v>
      </c>
      <c r="F113" s="16"/>
      <c r="G113" s="16">
        <f t="shared" si="10"/>
        <v>26161.416666666668</v>
      </c>
      <c r="H113" s="14">
        <v>1</v>
      </c>
      <c r="J113" s="16">
        <f t="shared" si="15"/>
        <v>26161.416666666668</v>
      </c>
      <c r="L113" s="3">
        <f t="shared" si="14"/>
        <v>7.0921914086043039E-4</v>
      </c>
      <c r="N113" s="16">
        <f>+L113*(assessment!$J$272*assessment!$F$3)</f>
        <v>21948.727380047952</v>
      </c>
      <c r="P113" s="6">
        <f>+N113/payroll!F113</f>
        <v>5.038734129574773E-4</v>
      </c>
      <c r="R113" s="16">
        <f>IF(P113&lt;$R$2,N113, +payroll!F113 * $R$2)</f>
        <v>21948.727380047952</v>
      </c>
      <c r="T113" s="5">
        <f t="shared" si="16"/>
        <v>0</v>
      </c>
      <c r="V113">
        <f t="shared" si="17"/>
        <v>1</v>
      </c>
    </row>
    <row r="114" spans="1:22">
      <c r="A114" t="s">
        <v>176</v>
      </c>
      <c r="B114" t="s">
        <v>538</v>
      </c>
      <c r="C114" s="40">
        <v>164575.72999999995</v>
      </c>
      <c r="D114" s="40">
        <v>179655.04000000021</v>
      </c>
      <c r="E114" s="40">
        <v>249610.04</v>
      </c>
      <c r="F114" s="16"/>
      <c r="G114" s="16">
        <f t="shared" si="10"/>
        <v>197946.93666666673</v>
      </c>
      <c r="H114" s="14">
        <v>1</v>
      </c>
      <c r="J114" s="16">
        <f t="shared" si="15"/>
        <v>197946.93666666673</v>
      </c>
      <c r="L114" s="3">
        <f t="shared" si="14"/>
        <v>5.3662138464222083E-3</v>
      </c>
      <c r="N114" s="16">
        <f>+L114*(assessment!$J$272*assessment!$F$3)</f>
        <v>166072.17430040878</v>
      </c>
      <c r="P114" s="6">
        <f>+N114/payroll!F114</f>
        <v>5.5433767067917313E-4</v>
      </c>
      <c r="R114" s="16">
        <f>IF(P114&lt;$R$2,N114, +payroll!F114 * $R$2)</f>
        <v>166072.17430040878</v>
      </c>
      <c r="T114" s="5">
        <f t="shared" si="16"/>
        <v>0</v>
      </c>
      <c r="V114">
        <f t="shared" si="17"/>
        <v>1</v>
      </c>
    </row>
    <row r="115" spans="1:22">
      <c r="A115" t="s">
        <v>177</v>
      </c>
      <c r="B115" t="s">
        <v>178</v>
      </c>
      <c r="C115" s="40">
        <v>202625.49</v>
      </c>
      <c r="D115" s="40">
        <v>213091.13999999984</v>
      </c>
      <c r="E115" s="40">
        <v>155623.47</v>
      </c>
      <c r="F115" s="16"/>
      <c r="G115" s="16">
        <f t="shared" si="10"/>
        <v>190446.69999999995</v>
      </c>
      <c r="H115" s="14">
        <v>1</v>
      </c>
      <c r="J115" s="16">
        <f t="shared" si="15"/>
        <v>190446.69999999995</v>
      </c>
      <c r="L115" s="3">
        <f t="shared" si="14"/>
        <v>5.1628872654209254E-3</v>
      </c>
      <c r="N115" s="16">
        <f>+L115*(assessment!$J$272*assessment!$F$3)</f>
        <v>159779.67676558456</v>
      </c>
      <c r="P115" s="6">
        <f>+N115/payroll!F115</f>
        <v>6.0458095775500157E-4</v>
      </c>
      <c r="R115" s="16">
        <f>IF(P115&lt;$R$2,N115, +payroll!F115 * $R$2)</f>
        <v>159779.67676558456</v>
      </c>
      <c r="T115" s="5">
        <f t="shared" si="16"/>
        <v>0</v>
      </c>
      <c r="V115">
        <f t="shared" si="17"/>
        <v>1</v>
      </c>
    </row>
    <row r="116" spans="1:22">
      <c r="A116" t="s">
        <v>179</v>
      </c>
      <c r="B116" t="s">
        <v>180</v>
      </c>
      <c r="C116" s="40">
        <v>152533.32</v>
      </c>
      <c r="D116" s="40">
        <v>157752.61000000002</v>
      </c>
      <c r="E116" s="40">
        <v>108978.89</v>
      </c>
      <c r="F116" s="16"/>
      <c r="G116" s="16">
        <f t="shared" si="10"/>
        <v>139754.94000000003</v>
      </c>
      <c r="H116" s="14">
        <v>1</v>
      </c>
      <c r="J116" s="16">
        <f t="shared" si="15"/>
        <v>139754.94000000003</v>
      </c>
      <c r="L116" s="3">
        <f t="shared" si="14"/>
        <v>3.788666330294334E-3</v>
      </c>
      <c r="N116" s="16">
        <f>+L116*(assessment!$J$272*assessment!$F$3)</f>
        <v>117250.64881456953</v>
      </c>
      <c r="P116" s="6">
        <f>+N116/payroll!F116</f>
        <v>8.6314994889566106E-4</v>
      </c>
      <c r="R116" s="16">
        <f>IF(P116&lt;$R$2,N116, +payroll!F116 * $R$2)</f>
        <v>117250.64881456953</v>
      </c>
      <c r="T116" s="5">
        <f t="shared" si="16"/>
        <v>0</v>
      </c>
      <c r="V116">
        <f t="shared" si="17"/>
        <v>1</v>
      </c>
    </row>
    <row r="117" spans="1:22">
      <c r="A117" t="s">
        <v>181</v>
      </c>
      <c r="B117" s="36" t="s">
        <v>558</v>
      </c>
      <c r="C117" s="40">
        <v>403146.45</v>
      </c>
      <c r="D117" s="40">
        <v>381060.95000000106</v>
      </c>
      <c r="E117" s="40">
        <v>219412.95</v>
      </c>
      <c r="F117" s="16"/>
      <c r="G117" s="16">
        <f t="shared" si="10"/>
        <v>334540.11666666699</v>
      </c>
      <c r="H117" s="14">
        <v>1</v>
      </c>
      <c r="J117" s="16">
        <f t="shared" si="15"/>
        <v>334540.11666666699</v>
      </c>
      <c r="L117" s="3">
        <f t="shared" si="14"/>
        <v>9.0691669013470231E-3</v>
      </c>
      <c r="N117" s="16">
        <f>+L117*(assessment!$J$272*assessment!$F$3)</f>
        <v>280670.19121949089</v>
      </c>
      <c r="P117" s="6">
        <f>+N117/payroll!F117</f>
        <v>1.1518874888002634E-3</v>
      </c>
      <c r="R117" s="16">
        <f>IF(P117&lt;$R$2,N117, +payroll!F117 * $R$2)</f>
        <v>280670.19121949089</v>
      </c>
      <c r="T117" s="5">
        <f t="shared" si="16"/>
        <v>0</v>
      </c>
      <c r="V117">
        <f t="shared" si="17"/>
        <v>1</v>
      </c>
    </row>
    <row r="118" spans="1:22">
      <c r="A118" t="s">
        <v>182</v>
      </c>
      <c r="B118" t="s">
        <v>183</v>
      </c>
      <c r="C118" s="40">
        <v>149891.56</v>
      </c>
      <c r="D118" s="40">
        <v>103593.71999999987</v>
      </c>
      <c r="E118" s="40">
        <v>292544.05</v>
      </c>
      <c r="F118" s="16"/>
      <c r="G118" s="16">
        <f t="shared" si="10"/>
        <v>182009.77666666661</v>
      </c>
      <c r="H118" s="14">
        <v>1</v>
      </c>
      <c r="J118" s="16">
        <f t="shared" si="15"/>
        <v>182009.77666666661</v>
      </c>
      <c r="L118" s="3">
        <f t="shared" si="14"/>
        <v>4.9341677127219324E-3</v>
      </c>
      <c r="N118" s="16">
        <f>+L118*(assessment!$J$272*assessment!$F$3)</f>
        <v>152701.32422339814</v>
      </c>
      <c r="P118" s="6">
        <f>+N118/payroll!F118</f>
        <v>1.6356327304216211E-3</v>
      </c>
      <c r="R118" s="16">
        <f>IF(P118&lt;$R$2,N118, +payroll!F118 * $R$2)</f>
        <v>152701.32422339814</v>
      </c>
      <c r="T118" s="5">
        <f t="shared" si="16"/>
        <v>0</v>
      </c>
      <c r="V118">
        <f t="shared" si="17"/>
        <v>1</v>
      </c>
    </row>
    <row r="119" spans="1:22">
      <c r="A119" t="s">
        <v>184</v>
      </c>
      <c r="B119" t="s">
        <v>185</v>
      </c>
      <c r="C119" s="40">
        <v>54526.9</v>
      </c>
      <c r="D119" s="40">
        <v>14094.140000000009</v>
      </c>
      <c r="E119" s="40">
        <v>70998.52</v>
      </c>
      <c r="F119" s="16"/>
      <c r="G119" s="16">
        <f t="shared" si="10"/>
        <v>46539.853333333333</v>
      </c>
      <c r="H119" s="14">
        <v>1</v>
      </c>
      <c r="J119" s="16">
        <f t="shared" si="15"/>
        <v>46539.853333333333</v>
      </c>
      <c r="L119" s="3">
        <f t="shared" si="14"/>
        <v>1.2616654219223769E-3</v>
      </c>
      <c r="N119" s="16">
        <f>+L119*(assessment!$J$272*assessment!$F$3)</f>
        <v>39045.689541051201</v>
      </c>
      <c r="P119" s="6">
        <f>+N119/payroll!F119</f>
        <v>1.7343379452738517E-3</v>
      </c>
      <c r="R119" s="16">
        <f>IF(P119&lt;$R$2,N119, +payroll!F119 * $R$2)</f>
        <v>39045.689541051201</v>
      </c>
      <c r="T119" s="5">
        <f t="shared" si="16"/>
        <v>0</v>
      </c>
      <c r="V119">
        <f t="shared" si="17"/>
        <v>1</v>
      </c>
    </row>
    <row r="120" spans="1:22">
      <c r="A120" t="s">
        <v>186</v>
      </c>
      <c r="B120" t="s">
        <v>539</v>
      </c>
      <c r="C120" s="40">
        <v>0</v>
      </c>
      <c r="D120" s="40">
        <v>0</v>
      </c>
      <c r="E120" s="40">
        <v>0</v>
      </c>
      <c r="F120" s="16"/>
      <c r="G120" s="16">
        <f t="shared" si="10"/>
        <v>0</v>
      </c>
      <c r="H120" s="14">
        <v>1</v>
      </c>
      <c r="J120" s="16">
        <f t="shared" si="15"/>
        <v>0</v>
      </c>
      <c r="L120" s="3">
        <f t="shared" si="14"/>
        <v>0</v>
      </c>
      <c r="N120" s="16">
        <f>+L120*(assessment!$J$272*assessment!$F$3)</f>
        <v>0</v>
      </c>
      <c r="P120" s="6">
        <f>+N120/payroll!F120</f>
        <v>0</v>
      </c>
      <c r="R120" s="16">
        <f>IF(P120&lt;$R$2,N120, +payroll!F120 * $R$2)</f>
        <v>0</v>
      </c>
      <c r="T120" s="5">
        <f t="shared" si="16"/>
        <v>0</v>
      </c>
      <c r="V120" t="e">
        <f t="shared" si="17"/>
        <v>#DIV/0!</v>
      </c>
    </row>
    <row r="121" spans="1:22">
      <c r="A121" t="s">
        <v>187</v>
      </c>
      <c r="B121" t="s">
        <v>188</v>
      </c>
      <c r="C121" s="40">
        <v>47583.93</v>
      </c>
      <c r="D121" s="40">
        <v>42715.239999999976</v>
      </c>
      <c r="E121" s="40">
        <v>170136.8</v>
      </c>
      <c r="F121" s="16"/>
      <c r="G121" s="16">
        <f t="shared" si="10"/>
        <v>86811.989999999991</v>
      </c>
      <c r="H121" s="14">
        <v>1</v>
      </c>
      <c r="J121" s="16">
        <f t="shared" si="15"/>
        <v>86811.989999999991</v>
      </c>
      <c r="L121" s="3">
        <f t="shared" si="14"/>
        <v>2.3534170854987188E-3</v>
      </c>
      <c r="N121" s="16">
        <f>+L121*(assessment!$J$272*assessment!$F$3)</f>
        <v>72832.932792099644</v>
      </c>
      <c r="P121" s="6">
        <f>+N121/payroll!F121</f>
        <v>1.2071277568310305E-3</v>
      </c>
      <c r="R121" s="16">
        <f>IF(P121&lt;$R$2,N121, +payroll!F121 * $R$2)</f>
        <v>72832.932792099644</v>
      </c>
      <c r="T121" s="5">
        <f t="shared" si="16"/>
        <v>0</v>
      </c>
      <c r="V121">
        <f t="shared" si="17"/>
        <v>1</v>
      </c>
    </row>
    <row r="122" spans="1:22">
      <c r="A122" t="s">
        <v>189</v>
      </c>
      <c r="B122" t="s">
        <v>190</v>
      </c>
      <c r="C122" s="40">
        <v>51309.96</v>
      </c>
      <c r="D122" s="40">
        <v>107775.66999999987</v>
      </c>
      <c r="E122" s="40">
        <v>46760.67</v>
      </c>
      <c r="F122" s="16"/>
      <c r="G122" s="16">
        <f t="shared" si="10"/>
        <v>68615.433333333291</v>
      </c>
      <c r="H122" s="14">
        <v>1</v>
      </c>
      <c r="J122" s="16">
        <f t="shared" si="15"/>
        <v>68615.433333333291</v>
      </c>
      <c r="L122" s="3">
        <f t="shared" si="14"/>
        <v>1.860120164686524E-3</v>
      </c>
      <c r="N122" s="16">
        <f>+L122*(assessment!$J$272*assessment!$F$3)</f>
        <v>57566.509470263933</v>
      </c>
      <c r="P122" s="6">
        <f>+N122/payroll!F122</f>
        <v>4.2540839584088693E-4</v>
      </c>
      <c r="R122" s="16">
        <f>IF(P122&lt;$R$2,N122, +payroll!F122 * $R$2)</f>
        <v>57566.509470263933</v>
      </c>
      <c r="T122" s="5">
        <f t="shared" si="16"/>
        <v>0</v>
      </c>
      <c r="V122">
        <f t="shared" si="17"/>
        <v>1</v>
      </c>
    </row>
    <row r="123" spans="1:22">
      <c r="A123" t="s">
        <v>191</v>
      </c>
      <c r="B123" t="s">
        <v>540</v>
      </c>
      <c r="C123" s="40">
        <v>15830.3</v>
      </c>
      <c r="D123" s="40">
        <v>4756.3499999999995</v>
      </c>
      <c r="E123" s="40">
        <v>25105.040000000001</v>
      </c>
      <c r="F123" s="16"/>
      <c r="G123" s="16">
        <f t="shared" si="10"/>
        <v>15230.563333333334</v>
      </c>
      <c r="H123" s="14">
        <v>1</v>
      </c>
      <c r="J123" s="16">
        <f t="shared" si="15"/>
        <v>15230.563333333334</v>
      </c>
      <c r="L123" s="3">
        <f t="shared" si="14"/>
        <v>4.128907535749035E-4</v>
      </c>
      <c r="N123" s="16">
        <f>+L123*(assessment!$J$272*assessment!$F$3)</f>
        <v>12778.034412556191</v>
      </c>
      <c r="P123" s="6">
        <f>+N123/payroll!F123</f>
        <v>4.9359583199485484E-4</v>
      </c>
      <c r="R123" s="16">
        <f>IF(P123&lt;$R$2,N123, +payroll!F123 * $R$2)</f>
        <v>12778.034412556191</v>
      </c>
      <c r="T123" s="5">
        <f t="shared" si="16"/>
        <v>0</v>
      </c>
      <c r="V123">
        <f t="shared" si="17"/>
        <v>1</v>
      </c>
    </row>
    <row r="124" spans="1:22">
      <c r="A124" t="s">
        <v>480</v>
      </c>
      <c r="B124" t="s">
        <v>481</v>
      </c>
      <c r="C124" s="40">
        <v>2899.16</v>
      </c>
      <c r="D124" s="40">
        <v>16147.830000000005</v>
      </c>
      <c r="E124" s="40">
        <v>39505.15</v>
      </c>
      <c r="F124" s="16"/>
      <c r="G124" s="16">
        <f t="shared" si="10"/>
        <v>19517.38</v>
      </c>
      <c r="H124" s="14">
        <v>1</v>
      </c>
      <c r="J124" s="16">
        <f>+G124*H124</f>
        <v>19517.38</v>
      </c>
      <c r="L124" s="3">
        <f t="shared" si="14"/>
        <v>5.2910358990930853E-4</v>
      </c>
      <c r="N124" s="16">
        <f>+L124*(assessment!$J$272*assessment!$F$3)</f>
        <v>16374.558696533395</v>
      </c>
      <c r="P124" s="6">
        <f>+N124/payroll!F124</f>
        <v>4.7743070482390642E-4</v>
      </c>
      <c r="R124" s="16">
        <f>IF(P124&lt;$R$2,N124, +payroll!F124 * $R$2)</f>
        <v>16374.558696533395</v>
      </c>
      <c r="T124" s="5">
        <f>+N124-R124</f>
        <v>0</v>
      </c>
      <c r="V124">
        <f>+R124/N124</f>
        <v>1</v>
      </c>
    </row>
    <row r="125" spans="1:22">
      <c r="A125" t="s">
        <v>192</v>
      </c>
      <c r="B125" t="s">
        <v>500</v>
      </c>
      <c r="C125" s="40">
        <v>51278.29</v>
      </c>
      <c r="D125" s="40">
        <v>27304.809999999976</v>
      </c>
      <c r="E125" s="40">
        <v>74966.67</v>
      </c>
      <c r="F125" s="16"/>
      <c r="G125" s="16">
        <f t="shared" si="10"/>
        <v>51183.256666666653</v>
      </c>
      <c r="H125" s="14">
        <v>1</v>
      </c>
      <c r="J125" s="16">
        <f t="shared" si="15"/>
        <v>51183.256666666653</v>
      </c>
      <c r="L125" s="3">
        <f t="shared" si="14"/>
        <v>1.387545092916307E-3</v>
      </c>
      <c r="N125" s="16">
        <f>+L125*(assessment!$J$272*assessment!$F$3)</f>
        <v>42941.380480785192</v>
      </c>
      <c r="P125" s="6">
        <f>+N125/payroll!F125</f>
        <v>2.309823996466552E-3</v>
      </c>
      <c r="R125" s="16">
        <f>IF(P125&lt;$R$2,N125, +payroll!F125 * $R$2)</f>
        <v>42941.380480785192</v>
      </c>
      <c r="T125" s="5">
        <f t="shared" si="16"/>
        <v>0</v>
      </c>
      <c r="V125">
        <f t="shared" si="17"/>
        <v>1</v>
      </c>
    </row>
    <row r="126" spans="1:22">
      <c r="A126" t="s">
        <v>193</v>
      </c>
      <c r="B126" t="s">
        <v>194</v>
      </c>
      <c r="C126" s="40">
        <v>43878.94</v>
      </c>
      <c r="D126" s="40">
        <v>67762.000000000029</v>
      </c>
      <c r="E126" s="40">
        <v>64262.71</v>
      </c>
      <c r="F126" s="16"/>
      <c r="G126" s="16">
        <f t="shared" si="10"/>
        <v>58634.55000000001</v>
      </c>
      <c r="H126" s="14">
        <v>1</v>
      </c>
      <c r="J126" s="16">
        <f t="shared" si="15"/>
        <v>58634.55000000001</v>
      </c>
      <c r="L126" s="3">
        <f t="shared" si="14"/>
        <v>1.5895448517022697E-3</v>
      </c>
      <c r="N126" s="16">
        <f>+L126*(assessment!$J$272*assessment!$F$3)</f>
        <v>49192.815870768623</v>
      </c>
      <c r="P126" s="6">
        <f>+N126/payroll!F126</f>
        <v>2.3001033304596036E-3</v>
      </c>
      <c r="R126" s="16">
        <f>IF(P126&lt;$R$2,N126, +payroll!F126 * $R$2)</f>
        <v>49192.815870768623</v>
      </c>
      <c r="T126" s="5">
        <f t="shared" si="16"/>
        <v>0</v>
      </c>
      <c r="V126">
        <f t="shared" si="17"/>
        <v>1</v>
      </c>
    </row>
    <row r="127" spans="1:22">
      <c r="A127" t="s">
        <v>551</v>
      </c>
      <c r="B127" t="s">
        <v>552</v>
      </c>
      <c r="C127" s="40">
        <v>18784.240000000002</v>
      </c>
      <c r="D127" s="40">
        <v>-440.45</v>
      </c>
      <c r="E127" s="40">
        <v>-371.8</v>
      </c>
      <c r="F127" s="16"/>
      <c r="G127" s="16">
        <f t="shared" si="10"/>
        <v>5990.6633333333339</v>
      </c>
      <c r="H127" s="14">
        <v>1</v>
      </c>
      <c r="J127" s="16">
        <f>+G127*H127</f>
        <v>5990.6633333333339</v>
      </c>
      <c r="L127" s="3">
        <f t="shared" si="14"/>
        <v>1.6240302108196545E-4</v>
      </c>
      <c r="N127" s="16">
        <f>+L127*(assessment!$J$272*assessment!$F$3)</f>
        <v>5026.0059691842371</v>
      </c>
      <c r="P127" s="6">
        <f>+N127/payroll!F127</f>
        <v>4.1463645441958434E-4</v>
      </c>
      <c r="R127" s="16">
        <f>IF(P127&lt;$R$2,N127, +payroll!F127 * $R$2)</f>
        <v>5026.0059691842371</v>
      </c>
      <c r="T127" s="5">
        <f>+N127-R127</f>
        <v>0</v>
      </c>
      <c r="V127">
        <f>+R127/N127</f>
        <v>1</v>
      </c>
    </row>
    <row r="128" spans="1:22" s="50" customFormat="1">
      <c r="A128" s="52" t="s">
        <v>571</v>
      </c>
      <c r="B128" s="52" t="s">
        <v>563</v>
      </c>
      <c r="C128" s="40">
        <v>47004.070000000029</v>
      </c>
      <c r="D128" s="40">
        <v>107536.20000000006</v>
      </c>
      <c r="E128" s="40">
        <v>91190.17</v>
      </c>
      <c r="F128" s="16"/>
      <c r="G128" s="16">
        <f>IF(SUM(C128:E128)&gt;0,AVERAGE(C128:E128),0)</f>
        <v>81910.146666666682</v>
      </c>
      <c r="H128" s="14">
        <v>1</v>
      </c>
      <c r="J128" s="16">
        <f>+G128*H128</f>
        <v>81910.146666666682</v>
      </c>
      <c r="L128" s="53">
        <f t="shared" si="14"/>
        <v>2.2205312727082895E-3</v>
      </c>
      <c r="N128" s="16">
        <f>+L128*(assessment!$J$272*assessment!$F$3)</f>
        <v>68720.417619321466</v>
      </c>
      <c r="P128" s="54">
        <f>+N128/payroll!F128</f>
        <v>6.0797321405262419E-4</v>
      </c>
      <c r="R128" s="16">
        <f>IF(P128&lt;$R$2,N128, +payroll!F128 * $R$2)</f>
        <v>68720.417619321466</v>
      </c>
      <c r="T128" s="5">
        <f>+N128-R128</f>
        <v>0</v>
      </c>
      <c r="V128" s="50">
        <f>+R128/N128</f>
        <v>1</v>
      </c>
    </row>
    <row r="129" spans="1:22">
      <c r="A129" t="s">
        <v>195</v>
      </c>
      <c r="B129" t="s">
        <v>196</v>
      </c>
      <c r="C129" s="40">
        <v>8.65</v>
      </c>
      <c r="D129" s="40">
        <v>5391.9100000000008</v>
      </c>
      <c r="E129" s="40">
        <v>0</v>
      </c>
      <c r="F129" s="16"/>
      <c r="G129" s="16">
        <f t="shared" si="10"/>
        <v>1800.1866666666667</v>
      </c>
      <c r="H129" s="14">
        <v>1</v>
      </c>
      <c r="J129" s="16">
        <f t="shared" si="15"/>
        <v>1800.1866666666667</v>
      </c>
      <c r="L129" s="3">
        <f t="shared" si="14"/>
        <v>4.8801900041921867E-5</v>
      </c>
      <c r="N129" s="16">
        <f>+L129*(assessment!$J$272*assessment!$F$3)</f>
        <v>1510.3083630103081</v>
      </c>
      <c r="P129" s="6">
        <f>+N129/payroll!F129</f>
        <v>9.8018578019203542E-5</v>
      </c>
      <c r="R129" s="16">
        <f>IF(P129&lt;$R$2,N129, +payroll!F129 * $R$2)</f>
        <v>1510.3083630103081</v>
      </c>
      <c r="T129" s="5">
        <f t="shared" si="16"/>
        <v>0</v>
      </c>
      <c r="V129">
        <f t="shared" si="17"/>
        <v>1</v>
      </c>
    </row>
    <row r="130" spans="1:22">
      <c r="A130" t="s">
        <v>197</v>
      </c>
      <c r="B130" t="s">
        <v>541</v>
      </c>
      <c r="C130" s="40">
        <v>0</v>
      </c>
      <c r="D130" s="40">
        <v>275</v>
      </c>
      <c r="E130" s="40">
        <v>937.56</v>
      </c>
      <c r="F130" s="16"/>
      <c r="G130" s="16">
        <f t="shared" si="10"/>
        <v>404.18666666666667</v>
      </c>
      <c r="H130" s="14">
        <v>1</v>
      </c>
      <c r="J130" s="16">
        <f t="shared" si="15"/>
        <v>404.18666666666667</v>
      </c>
      <c r="L130" s="3">
        <f t="shared" ref="L130:L161" si="18">+J130/$J$264</f>
        <v>1.0957239974156898E-5</v>
      </c>
      <c r="N130" s="16">
        <f>+L130*(assessment!$J$272*assessment!$F$3)</f>
        <v>339.10177993611387</v>
      </c>
      <c r="P130" s="6">
        <f>+N130/payroll!F130</f>
        <v>4.6676804459712473E-5</v>
      </c>
      <c r="R130" s="16">
        <f>IF(P130&lt;$R$2,N130, +payroll!F130 * $R$2)</f>
        <v>339.10177993611387</v>
      </c>
      <c r="T130" s="5">
        <f t="shared" si="16"/>
        <v>0</v>
      </c>
      <c r="V130">
        <f t="shared" si="17"/>
        <v>1</v>
      </c>
    </row>
    <row r="131" spans="1:22">
      <c r="A131" t="s">
        <v>198</v>
      </c>
      <c r="B131" t="s">
        <v>199</v>
      </c>
      <c r="C131" s="40">
        <v>10061.450000000001</v>
      </c>
      <c r="D131" s="40">
        <v>8506.8299999999963</v>
      </c>
      <c r="E131" s="40">
        <v>7901.92</v>
      </c>
      <c r="F131" s="16"/>
      <c r="G131" s="16">
        <f t="shared" si="10"/>
        <v>8823.4</v>
      </c>
      <c r="H131" s="14">
        <v>1</v>
      </c>
      <c r="J131" s="16">
        <f t="shared" si="15"/>
        <v>8823.4</v>
      </c>
      <c r="L131" s="3">
        <f t="shared" si="18"/>
        <v>2.3919668598991218E-4</v>
      </c>
      <c r="N131" s="16">
        <f>+L131*(assessment!$J$272*assessment!$F$3)</f>
        <v>7402.5961068028973</v>
      </c>
      <c r="P131" s="6">
        <f>+N131/payroll!F131</f>
        <v>1.0771018760513295E-4</v>
      </c>
      <c r="R131" s="16">
        <f>IF(P131&lt;$R$2,N131, +payroll!F131 * $R$2)</f>
        <v>7402.5961068028973</v>
      </c>
      <c r="T131" s="5">
        <f t="shared" si="16"/>
        <v>0</v>
      </c>
      <c r="V131">
        <f t="shared" si="17"/>
        <v>1</v>
      </c>
    </row>
    <row r="132" spans="1:22">
      <c r="A132" t="s">
        <v>200</v>
      </c>
      <c r="B132" t="s">
        <v>542</v>
      </c>
      <c r="C132" s="40">
        <v>4210.5600000000004</v>
      </c>
      <c r="D132" s="40">
        <v>-16659.880000000008</v>
      </c>
      <c r="E132" s="40">
        <v>2002.7</v>
      </c>
      <c r="F132" s="16"/>
      <c r="G132" s="16">
        <f t="shared" ref="G132:G195" si="19">IF(SUM(C132:E132)&gt;0,AVERAGE(C132:E132),0)</f>
        <v>0</v>
      </c>
      <c r="H132" s="14">
        <v>1</v>
      </c>
      <c r="J132" s="16">
        <f t="shared" si="15"/>
        <v>0</v>
      </c>
      <c r="L132" s="3">
        <f t="shared" si="18"/>
        <v>0</v>
      </c>
      <c r="N132" s="16">
        <f>+L132*(assessment!$J$272*assessment!$F$3)</f>
        <v>0</v>
      </c>
      <c r="P132" s="6">
        <f>+N132/payroll!F132</f>
        <v>0</v>
      </c>
      <c r="R132" s="16">
        <f>IF(P132&lt;$R$2,N132, +payroll!F132 * $R$2)</f>
        <v>0</v>
      </c>
      <c r="T132" s="5">
        <f t="shared" si="16"/>
        <v>0</v>
      </c>
      <c r="V132" t="e">
        <f t="shared" si="17"/>
        <v>#DIV/0!</v>
      </c>
    </row>
    <row r="133" spans="1:22">
      <c r="A133" t="s">
        <v>201</v>
      </c>
      <c r="B133" t="s">
        <v>543</v>
      </c>
      <c r="C133" s="40">
        <v>45197.279999999999</v>
      </c>
      <c r="D133" s="40">
        <v>52784.309999999976</v>
      </c>
      <c r="E133" s="40">
        <v>58064.32</v>
      </c>
      <c r="F133" s="16"/>
      <c r="G133" s="16">
        <f t="shared" si="19"/>
        <v>52015.303333333322</v>
      </c>
      <c r="H133" s="14">
        <v>1</v>
      </c>
      <c r="J133" s="16">
        <f t="shared" si="15"/>
        <v>52015.303333333322</v>
      </c>
      <c r="L133" s="3">
        <f t="shared" si="18"/>
        <v>1.4101013416702589E-3</v>
      </c>
      <c r="N133" s="16">
        <f>+L133*(assessment!$J$272*assessment!$F$3)</f>
        <v>43639.445332808784</v>
      </c>
      <c r="P133" s="6">
        <f>+N133/payroll!F133</f>
        <v>4.3819474254075648E-3</v>
      </c>
      <c r="R133" s="16">
        <f>IF(P133&lt;$R$2,N133, +payroll!F133 * $R$2)</f>
        <v>43639.445332808784</v>
      </c>
      <c r="T133" s="5">
        <f t="shared" si="16"/>
        <v>0</v>
      </c>
      <c r="V133">
        <f t="shared" si="17"/>
        <v>1</v>
      </c>
    </row>
    <row r="134" spans="1:22">
      <c r="A134" t="s">
        <v>202</v>
      </c>
      <c r="B134" t="s">
        <v>501</v>
      </c>
      <c r="C134" s="40">
        <v>13145.52</v>
      </c>
      <c r="D134" s="40">
        <v>-2102.5500000000002</v>
      </c>
      <c r="E134" s="40">
        <v>35887.43</v>
      </c>
      <c r="F134" s="16"/>
      <c r="G134" s="16">
        <f t="shared" si="19"/>
        <v>15643.466666666667</v>
      </c>
      <c r="H134" s="14">
        <v>1</v>
      </c>
      <c r="J134" s="16">
        <f t="shared" si="15"/>
        <v>15643.466666666667</v>
      </c>
      <c r="L134" s="3">
        <f t="shared" si="18"/>
        <v>4.2408429676318935E-4</v>
      </c>
      <c r="N134" s="16">
        <f>+L134*(assessment!$J$272*assessment!$F$3)</f>
        <v>13124.44924219321</v>
      </c>
      <c r="P134" s="6">
        <f>+N134/payroll!F134</f>
        <v>1.1641324110314259E-3</v>
      </c>
      <c r="R134" s="16">
        <f>IF(P134&lt;$R$2,N134, +payroll!F134 * $R$2)</f>
        <v>13124.44924219321</v>
      </c>
      <c r="T134" s="5">
        <f t="shared" si="16"/>
        <v>0</v>
      </c>
      <c r="V134">
        <f t="shared" si="17"/>
        <v>1</v>
      </c>
    </row>
    <row r="135" spans="1:22">
      <c r="A135" t="s">
        <v>203</v>
      </c>
      <c r="B135" t="s">
        <v>544</v>
      </c>
      <c r="C135" s="40">
        <v>930371.22</v>
      </c>
      <c r="D135" s="40">
        <v>1098940.5500000019</v>
      </c>
      <c r="E135" s="40">
        <v>859947.96</v>
      </c>
      <c r="F135" s="16"/>
      <c r="G135" s="16">
        <f t="shared" si="19"/>
        <v>963086.57666666724</v>
      </c>
      <c r="H135" s="14">
        <v>1</v>
      </c>
      <c r="J135" s="16">
        <f t="shared" si="15"/>
        <v>963086.57666666724</v>
      </c>
      <c r="L135" s="3">
        <f t="shared" si="18"/>
        <v>2.6108656239095619E-2</v>
      </c>
      <c r="N135" s="16">
        <f>+L135*(assessment!$J$272*assessment!$F$3)</f>
        <v>808003.82425672654</v>
      </c>
      <c r="P135" s="6">
        <f>+N135/payroll!F135</f>
        <v>5.2645646962946073E-3</v>
      </c>
      <c r="R135" s="16">
        <f>IF(P135&lt;$R$2,N135, +payroll!F135 * $R$2)</f>
        <v>808003.82425672654</v>
      </c>
      <c r="T135" s="5">
        <f t="shared" si="16"/>
        <v>0</v>
      </c>
      <c r="V135">
        <f t="shared" si="17"/>
        <v>1</v>
      </c>
    </row>
    <row r="136" spans="1:22">
      <c r="A136" t="s">
        <v>204</v>
      </c>
      <c r="B136" t="s">
        <v>205</v>
      </c>
      <c r="C136" s="40">
        <v>47223.67</v>
      </c>
      <c r="D136" s="40">
        <v>40695.379999999968</v>
      </c>
      <c r="E136" s="40">
        <v>20113.41</v>
      </c>
      <c r="F136" s="16"/>
      <c r="G136" s="16">
        <f t="shared" si="19"/>
        <v>36010.819999999985</v>
      </c>
      <c r="H136" s="14">
        <v>1</v>
      </c>
      <c r="J136" s="16">
        <f t="shared" si="15"/>
        <v>36010.819999999985</v>
      </c>
      <c r="L136" s="3">
        <f t="shared" si="18"/>
        <v>9.7623011580334632E-4</v>
      </c>
      <c r="N136" s="16">
        <f>+L136*(assessment!$J$272*assessment!$F$3)</f>
        <v>30212.112783595872</v>
      </c>
      <c r="P136" s="6">
        <f>+N136/payroll!F136</f>
        <v>3.0806828173371471E-3</v>
      </c>
      <c r="R136" s="16">
        <f>IF(P136&lt;$R$2,N136, +payroll!F136 * $R$2)</f>
        <v>30212.112783595872</v>
      </c>
      <c r="T136" s="5">
        <f t="shared" si="16"/>
        <v>0</v>
      </c>
      <c r="V136">
        <f t="shared" si="17"/>
        <v>1</v>
      </c>
    </row>
    <row r="137" spans="1:22">
      <c r="A137" t="s">
        <v>206</v>
      </c>
      <c r="B137" t="s">
        <v>207</v>
      </c>
      <c r="C137" s="40">
        <v>59583.4</v>
      </c>
      <c r="D137" s="40">
        <v>38958.749999999985</v>
      </c>
      <c r="E137" s="40">
        <v>7034.06</v>
      </c>
      <c r="F137" s="16"/>
      <c r="G137" s="16">
        <f t="shared" si="19"/>
        <v>35192.07</v>
      </c>
      <c r="H137" s="14">
        <v>1</v>
      </c>
      <c r="J137" s="16">
        <f t="shared" si="15"/>
        <v>35192.07</v>
      </c>
      <c r="L137" s="3">
        <f t="shared" si="18"/>
        <v>9.5403433111102389E-4</v>
      </c>
      <c r="N137" s="16">
        <f>+L137*(assessment!$J$272*assessment!$F$3)</f>
        <v>29525.203478515654</v>
      </c>
      <c r="P137" s="6">
        <f>+N137/payroll!F137</f>
        <v>2.819757096606145E-3</v>
      </c>
      <c r="R137" s="16">
        <f>IF(P137&lt;$R$2,N137, +payroll!F137 * $R$2)</f>
        <v>29525.203478515654</v>
      </c>
      <c r="T137" s="5">
        <f t="shared" si="16"/>
        <v>0</v>
      </c>
      <c r="V137">
        <f t="shared" si="17"/>
        <v>1</v>
      </c>
    </row>
    <row r="138" spans="1:22">
      <c r="A138" t="s">
        <v>208</v>
      </c>
      <c r="B138" t="s">
        <v>209</v>
      </c>
      <c r="C138" s="40">
        <v>0</v>
      </c>
      <c r="D138" s="40">
        <v>0</v>
      </c>
      <c r="E138" s="40">
        <v>0</v>
      </c>
      <c r="F138" s="16"/>
      <c r="G138" s="16">
        <f t="shared" si="19"/>
        <v>0</v>
      </c>
      <c r="H138" s="14">
        <v>1</v>
      </c>
      <c r="J138" s="16">
        <f t="shared" si="15"/>
        <v>0</v>
      </c>
      <c r="L138" s="3">
        <f t="shared" si="18"/>
        <v>0</v>
      </c>
      <c r="N138" s="16">
        <f>+L138*(assessment!$J$272*assessment!$F$3)</f>
        <v>0</v>
      </c>
      <c r="P138" s="6">
        <f>+N138/payroll!F138</f>
        <v>0</v>
      </c>
      <c r="R138" s="16">
        <f>IF(P138&lt;$R$2,N138, +payroll!F138 * $R$2)</f>
        <v>0</v>
      </c>
      <c r="T138" s="5">
        <f t="shared" si="16"/>
        <v>0</v>
      </c>
      <c r="V138" t="e">
        <f t="shared" si="17"/>
        <v>#DIV/0!</v>
      </c>
    </row>
    <row r="139" spans="1:22">
      <c r="A139" t="s">
        <v>210</v>
      </c>
      <c r="B139" t="s">
        <v>461</v>
      </c>
      <c r="C139" s="40">
        <v>0</v>
      </c>
      <c r="D139" s="40">
        <v>0</v>
      </c>
      <c r="E139" s="40">
        <v>0</v>
      </c>
      <c r="F139" s="16"/>
      <c r="G139" s="16">
        <f t="shared" si="19"/>
        <v>0</v>
      </c>
      <c r="H139" s="14">
        <v>1</v>
      </c>
      <c r="J139" s="16">
        <f t="shared" si="15"/>
        <v>0</v>
      </c>
      <c r="L139" s="3">
        <f t="shared" si="18"/>
        <v>0</v>
      </c>
      <c r="N139" s="16">
        <f>+L139*(assessment!$J$272*assessment!$F$3)</f>
        <v>0</v>
      </c>
      <c r="P139" s="6">
        <f>+N139/payroll!F139</f>
        <v>0</v>
      </c>
      <c r="R139" s="16">
        <f>IF(P139&lt;$R$2,N139, +payroll!F139 * $R$2)</f>
        <v>0</v>
      </c>
      <c r="T139" s="5">
        <f t="shared" si="16"/>
        <v>0</v>
      </c>
      <c r="V139" t="e">
        <f t="shared" si="17"/>
        <v>#DIV/0!</v>
      </c>
    </row>
    <row r="140" spans="1:22" outlineLevel="1">
      <c r="A140" t="s">
        <v>211</v>
      </c>
      <c r="B140" t="s">
        <v>212</v>
      </c>
      <c r="C140" s="40">
        <v>0</v>
      </c>
      <c r="D140" s="40">
        <v>0</v>
      </c>
      <c r="E140" s="40">
        <v>0</v>
      </c>
      <c r="F140" s="16"/>
      <c r="G140" s="16">
        <f t="shared" si="19"/>
        <v>0</v>
      </c>
      <c r="H140" s="14">
        <v>1</v>
      </c>
      <c r="J140" s="16">
        <f t="shared" si="15"/>
        <v>0</v>
      </c>
      <c r="L140" s="3">
        <f t="shared" si="18"/>
        <v>0</v>
      </c>
      <c r="N140" s="16">
        <f>+L140*(assessment!$J$272*assessment!$F$3)</f>
        <v>0</v>
      </c>
      <c r="P140" s="6">
        <f>+N140/payroll!F140</f>
        <v>0</v>
      </c>
      <c r="R140" s="16">
        <f>IF(P140&lt;$R$2,N140, +payroll!F140 * $R$2)</f>
        <v>0</v>
      </c>
      <c r="T140" s="5">
        <f t="shared" si="16"/>
        <v>0</v>
      </c>
      <c r="V140" t="e">
        <f t="shared" si="17"/>
        <v>#DIV/0!</v>
      </c>
    </row>
    <row r="141" spans="1:22" outlineLevel="1">
      <c r="A141" t="s">
        <v>213</v>
      </c>
      <c r="B141" t="s">
        <v>214</v>
      </c>
      <c r="C141" s="40">
        <v>0</v>
      </c>
      <c r="D141" s="40">
        <v>0</v>
      </c>
      <c r="E141" s="40">
        <v>0</v>
      </c>
      <c r="F141" s="16"/>
      <c r="G141" s="16">
        <f t="shared" si="19"/>
        <v>0</v>
      </c>
      <c r="H141" s="14">
        <v>1</v>
      </c>
      <c r="J141" s="16">
        <f t="shared" si="15"/>
        <v>0</v>
      </c>
      <c r="L141" s="3">
        <f t="shared" si="18"/>
        <v>0</v>
      </c>
      <c r="N141" s="16">
        <f>+L141*(assessment!$J$272*assessment!$F$3)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6"/>
        <v>0</v>
      </c>
      <c r="V141" t="e">
        <f t="shared" si="17"/>
        <v>#DIV/0!</v>
      </c>
    </row>
    <row r="142" spans="1:22" outlineLevel="1">
      <c r="A142" t="s">
        <v>215</v>
      </c>
      <c r="B142" t="s">
        <v>216</v>
      </c>
      <c r="C142" s="40">
        <v>0</v>
      </c>
      <c r="D142" s="40">
        <v>0</v>
      </c>
      <c r="E142" s="40">
        <v>0</v>
      </c>
      <c r="F142" s="16"/>
      <c r="G142" s="16">
        <f t="shared" si="19"/>
        <v>0</v>
      </c>
      <c r="H142" s="14">
        <v>1</v>
      </c>
      <c r="J142" s="16">
        <f t="shared" si="15"/>
        <v>0</v>
      </c>
      <c r="L142" s="3">
        <f t="shared" si="18"/>
        <v>0</v>
      </c>
      <c r="N142" s="16">
        <f>+L142*(assessment!$J$272*assessment!$F$3)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6"/>
        <v>0</v>
      </c>
      <c r="V142" t="e">
        <f t="shared" si="17"/>
        <v>#DIV/0!</v>
      </c>
    </row>
    <row r="143" spans="1:22" outlineLevel="1">
      <c r="A143" t="s">
        <v>504</v>
      </c>
      <c r="B143" t="s">
        <v>502</v>
      </c>
      <c r="C143" s="40">
        <v>0</v>
      </c>
      <c r="D143" s="40">
        <v>0</v>
      </c>
      <c r="E143" s="40">
        <v>0</v>
      </c>
      <c r="F143" s="16"/>
      <c r="G143" s="16">
        <f t="shared" si="19"/>
        <v>0</v>
      </c>
      <c r="H143" s="14">
        <v>1</v>
      </c>
      <c r="J143" s="16">
        <f>+G143*H143</f>
        <v>0</v>
      </c>
      <c r="L143" s="3">
        <f t="shared" si="18"/>
        <v>0</v>
      </c>
      <c r="N143" s="16">
        <f>+L143*(assessment!$J$272*assessment!$F$3)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>+N143-R143</f>
        <v>0</v>
      </c>
      <c r="V143" t="e">
        <f>+R143/N143</f>
        <v>#DIV/0!</v>
      </c>
    </row>
    <row r="144" spans="1:22" outlineLevel="1">
      <c r="A144" t="s">
        <v>217</v>
      </c>
      <c r="B144" t="s">
        <v>218</v>
      </c>
      <c r="C144" s="40">
        <v>6995.29</v>
      </c>
      <c r="D144" s="40">
        <v>790.25</v>
      </c>
      <c r="E144" s="40">
        <v>0</v>
      </c>
      <c r="F144" s="16"/>
      <c r="G144" s="16">
        <f t="shared" si="19"/>
        <v>2595.1799999999998</v>
      </c>
      <c r="H144" s="14">
        <v>1</v>
      </c>
      <c r="J144" s="16">
        <f t="shared" si="15"/>
        <v>2595.1799999999998</v>
      </c>
      <c r="L144" s="3">
        <f t="shared" si="18"/>
        <v>7.0353656815660653E-5</v>
      </c>
      <c r="N144" s="16">
        <f>+L144*(assessment!$J$272*assessment!$F$3)</f>
        <v>2177.2864615060794</v>
      </c>
      <c r="P144" s="6">
        <f>+N144/payroll!F144</f>
        <v>3.1446071301000867E-3</v>
      </c>
      <c r="R144" s="16">
        <f>IF(P144&lt;$R$2,N144, +payroll!F144 * $R$2)</f>
        <v>2177.2864615060794</v>
      </c>
      <c r="T144" s="5">
        <f t="shared" si="16"/>
        <v>0</v>
      </c>
      <c r="V144">
        <f t="shared" si="17"/>
        <v>1</v>
      </c>
    </row>
    <row r="145" spans="1:22" outlineLevel="1">
      <c r="A145" t="s">
        <v>219</v>
      </c>
      <c r="B145" t="s">
        <v>220</v>
      </c>
      <c r="C145" s="40">
        <v>0</v>
      </c>
      <c r="D145" s="40">
        <v>0</v>
      </c>
      <c r="E145" s="40">
        <v>0</v>
      </c>
      <c r="F145" s="16"/>
      <c r="G145" s="16">
        <f t="shared" si="19"/>
        <v>0</v>
      </c>
      <c r="H145" s="14">
        <v>1</v>
      </c>
      <c r="J145" s="16">
        <f t="shared" si="15"/>
        <v>0</v>
      </c>
      <c r="L145" s="3">
        <f t="shared" si="18"/>
        <v>0</v>
      </c>
      <c r="N145" s="16">
        <f>+L145*(assessment!$J$272*assessment!$F$3)</f>
        <v>0</v>
      </c>
      <c r="P145" s="6">
        <f>+N145/payroll!F145</f>
        <v>0</v>
      </c>
      <c r="R145" s="16">
        <f>IF(P145&lt;$R$2,N145, +payroll!F145 * $R$2)</f>
        <v>0</v>
      </c>
      <c r="T145" s="5">
        <f t="shared" si="16"/>
        <v>0</v>
      </c>
      <c r="V145" t="e">
        <f t="shared" si="17"/>
        <v>#DIV/0!</v>
      </c>
    </row>
    <row r="146" spans="1:22" outlineLevel="1">
      <c r="A146" t="s">
        <v>221</v>
      </c>
      <c r="B146" t="s">
        <v>222</v>
      </c>
      <c r="C146" s="40">
        <v>0</v>
      </c>
      <c r="D146" s="40">
        <v>7395.94</v>
      </c>
      <c r="E146" s="40">
        <v>18601.560000000001</v>
      </c>
      <c r="F146" s="16"/>
      <c r="G146" s="16">
        <f t="shared" si="19"/>
        <v>8665.8333333333339</v>
      </c>
      <c r="H146" s="14">
        <v>1</v>
      </c>
      <c r="J146" s="16">
        <f t="shared" si="15"/>
        <v>8665.8333333333339</v>
      </c>
      <c r="L146" s="3">
        <f t="shared" si="18"/>
        <v>2.3492515523202478E-4</v>
      </c>
      <c r="N146" s="16">
        <f>+L146*(assessment!$J$272*assessment!$F$3)</f>
        <v>7270.4018967219108</v>
      </c>
      <c r="P146" s="6">
        <f>+N146/payroll!F146</f>
        <v>6.405244248250644E-4</v>
      </c>
      <c r="R146" s="16">
        <f>IF(P146&lt;$R$2,N146, +payroll!F146 * $R$2)</f>
        <v>7270.4018967219108</v>
      </c>
      <c r="T146" s="5">
        <f t="shared" si="16"/>
        <v>0</v>
      </c>
      <c r="V146">
        <f t="shared" si="17"/>
        <v>1</v>
      </c>
    </row>
    <row r="147" spans="1:22" outlineLevel="1">
      <c r="A147" t="s">
        <v>223</v>
      </c>
      <c r="B147" t="s">
        <v>224</v>
      </c>
      <c r="C147" s="40">
        <v>87748.6</v>
      </c>
      <c r="D147" s="40">
        <v>130379.64</v>
      </c>
      <c r="E147" s="40">
        <v>149469.98000000001</v>
      </c>
      <c r="F147" s="16"/>
      <c r="G147" s="16">
        <f t="shared" si="19"/>
        <v>122532.73999999999</v>
      </c>
      <c r="H147" s="14">
        <v>1</v>
      </c>
      <c r="J147" s="16">
        <f t="shared" si="15"/>
        <v>122532.73999999999</v>
      </c>
      <c r="L147" s="3">
        <f t="shared" si="18"/>
        <v>3.3217835905958643E-3</v>
      </c>
      <c r="N147" s="16">
        <f>+L147*(assessment!$J$272*assessment!$F$3)</f>
        <v>102801.68462042882</v>
      </c>
      <c r="P147" s="6">
        <f>+N147/payroll!F147</f>
        <v>9.4336185625781832E-3</v>
      </c>
      <c r="R147" s="16">
        <f>IF(P147&lt;$R$2,N147, +payroll!F147 * $R$2)</f>
        <v>102801.68462042882</v>
      </c>
      <c r="T147" s="5">
        <f t="shared" si="16"/>
        <v>0</v>
      </c>
      <c r="V147">
        <f t="shared" si="17"/>
        <v>1</v>
      </c>
    </row>
    <row r="148" spans="1:22" outlineLevel="1">
      <c r="A148" t="s">
        <v>225</v>
      </c>
      <c r="B148" t="s">
        <v>226</v>
      </c>
      <c r="C148" s="40">
        <v>-31260.44</v>
      </c>
      <c r="D148" s="40">
        <v>0</v>
      </c>
      <c r="E148" s="40">
        <v>3585.6</v>
      </c>
      <c r="F148" s="16"/>
      <c r="G148" s="16">
        <f t="shared" si="19"/>
        <v>0</v>
      </c>
      <c r="H148" s="14">
        <v>1</v>
      </c>
      <c r="J148" s="16">
        <f t="shared" si="15"/>
        <v>0</v>
      </c>
      <c r="L148" s="3">
        <f t="shared" si="18"/>
        <v>0</v>
      </c>
      <c r="N148" s="16">
        <f>+L148*(assessment!$J$272*assessment!$F$3)</f>
        <v>0</v>
      </c>
      <c r="P148" s="6">
        <f>+N148/payroll!F148</f>
        <v>0</v>
      </c>
      <c r="R148" s="16">
        <f>IF(P148&lt;$R$2,N148, +payroll!F148 * $R$2)</f>
        <v>0</v>
      </c>
      <c r="T148" s="5">
        <f t="shared" si="16"/>
        <v>0</v>
      </c>
      <c r="V148" t="e">
        <f t="shared" si="17"/>
        <v>#DIV/0!</v>
      </c>
    </row>
    <row r="149" spans="1:22" outlineLevel="1">
      <c r="A149" t="s">
        <v>227</v>
      </c>
      <c r="B149" t="s">
        <v>228</v>
      </c>
      <c r="C149" s="40">
        <v>72.48</v>
      </c>
      <c r="D149" s="40">
        <v>316</v>
      </c>
      <c r="E149" s="40">
        <v>2398.19</v>
      </c>
      <c r="F149" s="16"/>
      <c r="G149" s="16">
        <f t="shared" si="19"/>
        <v>928.89</v>
      </c>
      <c r="H149" s="14">
        <v>1</v>
      </c>
      <c r="J149" s="16">
        <f t="shared" si="15"/>
        <v>928.89</v>
      </c>
      <c r="L149" s="3">
        <f t="shared" si="18"/>
        <v>2.5181609090505875E-5</v>
      </c>
      <c r="N149" s="16">
        <f>+L149*(assessment!$J$272*assessment!$F$3)</f>
        <v>779.31381300271369</v>
      </c>
      <c r="P149" s="6">
        <f>+N149/payroll!F149</f>
        <v>2.9664375873766951E-4</v>
      </c>
      <c r="R149" s="16">
        <f>IF(P149&lt;$R$2,N149, +payroll!F149 * $R$2)</f>
        <v>779.31381300271369</v>
      </c>
      <c r="T149" s="5">
        <f t="shared" si="16"/>
        <v>0</v>
      </c>
      <c r="V149">
        <f t="shared" si="17"/>
        <v>1</v>
      </c>
    </row>
    <row r="150" spans="1:22" outlineLevel="1">
      <c r="A150" t="s">
        <v>229</v>
      </c>
      <c r="B150" t="s">
        <v>230</v>
      </c>
      <c r="C150" s="40">
        <v>749.58</v>
      </c>
      <c r="D150" s="40">
        <v>0</v>
      </c>
      <c r="E150" s="40">
        <v>0</v>
      </c>
      <c r="F150" s="16"/>
      <c r="G150" s="16">
        <f t="shared" si="19"/>
        <v>249.86</v>
      </c>
      <c r="H150" s="14">
        <v>1</v>
      </c>
      <c r="J150" s="16">
        <f t="shared" si="15"/>
        <v>249.86</v>
      </c>
      <c r="L150" s="3">
        <f t="shared" si="18"/>
        <v>6.7735435276015438E-6</v>
      </c>
      <c r="N150" s="16">
        <f>+L150*(assessment!$J$272*assessment!$F$3)</f>
        <v>209.6258430135517</v>
      </c>
      <c r="P150" s="6">
        <f>+N150/payroll!F150</f>
        <v>1.5598900493138233E-4</v>
      </c>
      <c r="R150" s="16">
        <f>IF(P150&lt;$R$2,N150, +payroll!F150 * $R$2)</f>
        <v>209.6258430135517</v>
      </c>
      <c r="T150" s="5">
        <f t="shared" si="16"/>
        <v>0</v>
      </c>
      <c r="V150">
        <f t="shared" si="17"/>
        <v>1</v>
      </c>
    </row>
    <row r="151" spans="1:22" outlineLevel="1">
      <c r="A151" t="s">
        <v>231</v>
      </c>
      <c r="B151" t="s">
        <v>232</v>
      </c>
      <c r="C151" s="40">
        <v>0</v>
      </c>
      <c r="D151" s="40">
        <v>0</v>
      </c>
      <c r="E151" s="40">
        <v>0</v>
      </c>
      <c r="F151" s="16"/>
      <c r="G151" s="16">
        <f t="shared" si="19"/>
        <v>0</v>
      </c>
      <c r="H151" s="14">
        <v>1</v>
      </c>
      <c r="J151" s="16">
        <f t="shared" si="15"/>
        <v>0</v>
      </c>
      <c r="L151" s="3">
        <f t="shared" si="18"/>
        <v>0</v>
      </c>
      <c r="N151" s="16">
        <f>+L151*(assessment!$J$272*assessment!$F$3)</f>
        <v>0</v>
      </c>
      <c r="P151" s="6">
        <f>+N151/payroll!F151</f>
        <v>0</v>
      </c>
      <c r="R151" s="16">
        <f>IF(P151&lt;$R$2,N151, +payroll!F151 * $R$2)</f>
        <v>0</v>
      </c>
      <c r="T151" s="5">
        <f t="shared" si="16"/>
        <v>0</v>
      </c>
      <c r="V151" t="e">
        <f t="shared" si="17"/>
        <v>#DIV/0!</v>
      </c>
    </row>
    <row r="152" spans="1:22" outlineLevel="1">
      <c r="A152" t="s">
        <v>233</v>
      </c>
      <c r="B152" t="s">
        <v>234</v>
      </c>
      <c r="C152" s="40">
        <v>0</v>
      </c>
      <c r="D152" s="40">
        <v>0</v>
      </c>
      <c r="E152" s="40">
        <v>1796.74</v>
      </c>
      <c r="F152" s="16"/>
      <c r="G152" s="16">
        <f t="shared" si="19"/>
        <v>598.9133333333333</v>
      </c>
      <c r="H152" s="14">
        <v>1</v>
      </c>
      <c r="J152" s="16">
        <f t="shared" si="15"/>
        <v>598.9133333333333</v>
      </c>
      <c r="L152" s="3">
        <f t="shared" si="18"/>
        <v>1.6236154376828085E-5</v>
      </c>
      <c r="N152" s="16">
        <f>+L152*(assessment!$J$272*assessment!$F$3)</f>
        <v>502.4722340192759</v>
      </c>
      <c r="P152" s="6">
        <f>+N152/payroll!F152</f>
        <v>1.8799579925855598E-4</v>
      </c>
      <c r="R152" s="16">
        <f>IF(P152&lt;$R$2,N152, +payroll!F152 * $R$2)</f>
        <v>502.4722340192759</v>
      </c>
      <c r="T152" s="5">
        <f t="shared" si="16"/>
        <v>0</v>
      </c>
      <c r="V152">
        <f t="shared" si="17"/>
        <v>1</v>
      </c>
    </row>
    <row r="153" spans="1:22" outlineLevel="1">
      <c r="A153" t="s">
        <v>235</v>
      </c>
      <c r="B153" t="s">
        <v>236</v>
      </c>
      <c r="C153" s="40">
        <v>0</v>
      </c>
      <c r="D153" s="40">
        <v>2567.67</v>
      </c>
      <c r="E153" s="40">
        <v>2037.87</v>
      </c>
      <c r="F153" s="16"/>
      <c r="G153" s="16">
        <f t="shared" si="19"/>
        <v>1535.18</v>
      </c>
      <c r="H153" s="14">
        <v>1</v>
      </c>
      <c r="J153" s="16">
        <f t="shared" si="15"/>
        <v>1535.18</v>
      </c>
      <c r="L153" s="3">
        <f t="shared" si="18"/>
        <v>4.1617740145294715E-5</v>
      </c>
      <c r="N153" s="16">
        <f>+L153*(assessment!$J$272*assessment!$F$3)</f>
        <v>1287.9748726388548</v>
      </c>
      <c r="P153" s="6">
        <f>+N153/payroll!F153</f>
        <v>2.6286352579275163E-4</v>
      </c>
      <c r="R153" s="16">
        <f>IF(P153&lt;$R$2,N153, +payroll!F153 * $R$2)</f>
        <v>1287.9748726388548</v>
      </c>
      <c r="T153" s="5">
        <f t="shared" si="16"/>
        <v>0</v>
      </c>
      <c r="V153">
        <f t="shared" si="17"/>
        <v>1</v>
      </c>
    </row>
    <row r="154" spans="1:22" outlineLevel="1">
      <c r="A154" t="s">
        <v>237</v>
      </c>
      <c r="B154" t="s">
        <v>238</v>
      </c>
      <c r="C154" s="40">
        <v>0</v>
      </c>
      <c r="D154" s="40">
        <v>1730.59</v>
      </c>
      <c r="E154" s="40">
        <v>1145.57</v>
      </c>
      <c r="F154" s="16"/>
      <c r="G154" s="16">
        <f t="shared" si="19"/>
        <v>958.71999999999991</v>
      </c>
      <c r="H154" s="14">
        <v>1</v>
      </c>
      <c r="J154" s="16">
        <f t="shared" si="15"/>
        <v>958.71999999999991</v>
      </c>
      <c r="L154" s="3">
        <f t="shared" si="18"/>
        <v>2.5990281160578526E-5</v>
      </c>
      <c r="N154" s="16">
        <f>+L154*(assessment!$J$272*assessment!$F$3)</f>
        <v>804.34038347055241</v>
      </c>
      <c r="P154" s="6">
        <f>+N154/payroll!F154</f>
        <v>2.4567534327625231E-4</v>
      </c>
      <c r="R154" s="16">
        <f>IF(P154&lt;$R$2,N154, +payroll!F154 * $R$2)</f>
        <v>804.34038347055241</v>
      </c>
      <c r="T154" s="5">
        <f t="shared" si="16"/>
        <v>0</v>
      </c>
      <c r="V154">
        <f t="shared" si="17"/>
        <v>1</v>
      </c>
    </row>
    <row r="155" spans="1:22" outlineLevel="1">
      <c r="A155" t="s">
        <v>239</v>
      </c>
      <c r="B155" t="s">
        <v>240</v>
      </c>
      <c r="C155" s="40">
        <v>0</v>
      </c>
      <c r="D155" s="40">
        <v>0</v>
      </c>
      <c r="E155" s="40">
        <v>0</v>
      </c>
      <c r="F155" s="16"/>
      <c r="G155" s="16">
        <f t="shared" si="19"/>
        <v>0</v>
      </c>
      <c r="H155" s="14">
        <v>1</v>
      </c>
      <c r="J155" s="16">
        <f t="shared" si="15"/>
        <v>0</v>
      </c>
      <c r="L155" s="3">
        <f t="shared" si="18"/>
        <v>0</v>
      </c>
      <c r="N155" s="16">
        <f>+L155*(assessment!$J$272*assessment!$F$3)</f>
        <v>0</v>
      </c>
      <c r="P155" s="6">
        <f>+N155/payroll!F155</f>
        <v>0</v>
      </c>
      <c r="R155" s="16">
        <f>IF(P155&lt;$R$2,N155, +payroll!F155 * $R$2)</f>
        <v>0</v>
      </c>
      <c r="T155" s="5">
        <f t="shared" si="16"/>
        <v>0</v>
      </c>
      <c r="V155" t="e">
        <f t="shared" si="17"/>
        <v>#DIV/0!</v>
      </c>
    </row>
    <row r="156" spans="1:22" outlineLevel="1">
      <c r="A156" t="s">
        <v>241</v>
      </c>
      <c r="B156" t="s">
        <v>242</v>
      </c>
      <c r="C156" s="40">
        <v>0</v>
      </c>
      <c r="D156" s="40">
        <v>0</v>
      </c>
      <c r="E156" s="40">
        <v>0</v>
      </c>
      <c r="F156" s="16"/>
      <c r="G156" s="16">
        <f t="shared" si="19"/>
        <v>0</v>
      </c>
      <c r="H156" s="14">
        <v>1</v>
      </c>
      <c r="J156" s="16">
        <f t="shared" si="15"/>
        <v>0</v>
      </c>
      <c r="L156" s="3">
        <f t="shared" si="18"/>
        <v>0</v>
      </c>
      <c r="N156" s="16">
        <f>+L156*(assessment!$J$272*assessment!$F$3)</f>
        <v>0</v>
      </c>
      <c r="P156" s="6">
        <f>+N156/payroll!F156</f>
        <v>0</v>
      </c>
      <c r="R156" s="16">
        <f>IF(P156&lt;$R$2,N156, +payroll!F156 * $R$2)</f>
        <v>0</v>
      </c>
      <c r="T156" s="5">
        <f t="shared" si="16"/>
        <v>0</v>
      </c>
      <c r="V156" t="e">
        <f t="shared" si="17"/>
        <v>#DIV/0!</v>
      </c>
    </row>
    <row r="157" spans="1:22" outlineLevel="1">
      <c r="A157" t="s">
        <v>243</v>
      </c>
      <c r="B157" t="s">
        <v>244</v>
      </c>
      <c r="C157" s="40">
        <v>0</v>
      </c>
      <c r="D157" s="40">
        <v>0</v>
      </c>
      <c r="E157" s="40">
        <v>0</v>
      </c>
      <c r="F157" s="16"/>
      <c r="G157" s="16">
        <f t="shared" si="19"/>
        <v>0</v>
      </c>
      <c r="H157" s="14">
        <v>1</v>
      </c>
      <c r="J157" s="16">
        <f t="shared" si="15"/>
        <v>0</v>
      </c>
      <c r="L157" s="3">
        <f t="shared" si="18"/>
        <v>0</v>
      </c>
      <c r="N157" s="16">
        <f>+L157*(assessment!$J$272*assessment!$F$3)</f>
        <v>0</v>
      </c>
      <c r="P157" s="6">
        <f>+N157/payroll!F157</f>
        <v>0</v>
      </c>
      <c r="R157" s="16">
        <f>IF(P157&lt;$R$2,N157, +payroll!F157 * $R$2)</f>
        <v>0</v>
      </c>
      <c r="T157" s="5">
        <f t="shared" si="16"/>
        <v>0</v>
      </c>
      <c r="V157" t="e">
        <f t="shared" si="17"/>
        <v>#DIV/0!</v>
      </c>
    </row>
    <row r="158" spans="1:22" outlineLevel="1">
      <c r="A158" t="s">
        <v>245</v>
      </c>
      <c r="B158" t="s">
        <v>246</v>
      </c>
      <c r="C158" s="40">
        <v>1971.1</v>
      </c>
      <c r="D158" s="40">
        <v>1212.4000000000001</v>
      </c>
      <c r="E158" s="40">
        <v>6308.04</v>
      </c>
      <c r="F158" s="16"/>
      <c r="G158" s="16">
        <f t="shared" si="19"/>
        <v>3163.8466666666668</v>
      </c>
      <c r="H158" s="14">
        <v>1</v>
      </c>
      <c r="J158" s="16">
        <f t="shared" si="15"/>
        <v>3163.8466666666668</v>
      </c>
      <c r="L158" s="3">
        <f t="shared" si="18"/>
        <v>8.5769843557687174E-5</v>
      </c>
      <c r="N158" s="16">
        <f>+L158*(assessment!$J$272*assessment!$F$3)</f>
        <v>2654.3825528920815</v>
      </c>
      <c r="P158" s="6">
        <f>+N158/payroll!F158</f>
        <v>1.1012034830927624E-3</v>
      </c>
      <c r="R158" s="16">
        <f>IF(P158&lt;$R$2,N158, +payroll!F158 * $R$2)</f>
        <v>2654.3825528920815</v>
      </c>
      <c r="T158" s="5">
        <f t="shared" si="16"/>
        <v>0</v>
      </c>
      <c r="V158">
        <f t="shared" si="17"/>
        <v>1</v>
      </c>
    </row>
    <row r="159" spans="1:22" outlineLevel="1">
      <c r="A159" t="s">
        <v>247</v>
      </c>
      <c r="B159" t="s">
        <v>248</v>
      </c>
      <c r="C159" s="40">
        <v>0</v>
      </c>
      <c r="D159" s="40">
        <v>0</v>
      </c>
      <c r="E159" s="40">
        <v>0</v>
      </c>
      <c r="F159" s="16"/>
      <c r="G159" s="16">
        <f t="shared" si="19"/>
        <v>0</v>
      </c>
      <c r="H159" s="14">
        <v>1</v>
      </c>
      <c r="J159" s="16">
        <f t="shared" si="15"/>
        <v>0</v>
      </c>
      <c r="L159" s="3">
        <f t="shared" si="18"/>
        <v>0</v>
      </c>
      <c r="N159" s="16">
        <f>+L159*(assessment!$J$272*assessment!$F$3)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6"/>
        <v>0</v>
      </c>
      <c r="V159" t="e">
        <f t="shared" si="17"/>
        <v>#DIV/0!</v>
      </c>
    </row>
    <row r="160" spans="1:22" outlineLevel="1">
      <c r="A160" t="s">
        <v>249</v>
      </c>
      <c r="B160" t="s">
        <v>250</v>
      </c>
      <c r="C160" s="40">
        <v>0</v>
      </c>
      <c r="D160" s="40">
        <v>0</v>
      </c>
      <c r="E160" s="40">
        <v>8.9499999999999993</v>
      </c>
      <c r="F160" s="16"/>
      <c r="G160" s="16">
        <f t="shared" si="19"/>
        <v>2.9833333333333329</v>
      </c>
      <c r="H160" s="14">
        <v>1</v>
      </c>
      <c r="J160" s="16">
        <f t="shared" si="15"/>
        <v>2.9833333333333329</v>
      </c>
      <c r="L160" s="3">
        <f t="shared" si="18"/>
        <v>8.0876243459048801E-8</v>
      </c>
      <c r="N160" s="16">
        <f>+L160*(assessment!$J$272*assessment!$F$3)</f>
        <v>2.5029367045162454</v>
      </c>
      <c r="P160" s="6">
        <f>+N160/payroll!F160</f>
        <v>7.4893293412638982E-6</v>
      </c>
      <c r="R160" s="16">
        <f>IF(P160&lt;$R$2,N160, +payroll!F160 * $R$2)</f>
        <v>2.5029367045162454</v>
      </c>
      <c r="T160" s="5">
        <f t="shared" si="16"/>
        <v>0</v>
      </c>
      <c r="V160">
        <f t="shared" si="17"/>
        <v>1</v>
      </c>
    </row>
    <row r="161" spans="1:22" outlineLevel="1">
      <c r="A161" t="s">
        <v>251</v>
      </c>
      <c r="B161" t="s">
        <v>252</v>
      </c>
      <c r="C161" s="40">
        <v>753.91</v>
      </c>
      <c r="D161" s="40">
        <v>0</v>
      </c>
      <c r="E161" s="40">
        <v>0</v>
      </c>
      <c r="F161" s="16"/>
      <c r="G161" s="16">
        <f t="shared" si="19"/>
        <v>251.30333333333331</v>
      </c>
      <c r="H161" s="14">
        <v>1</v>
      </c>
      <c r="J161" s="16">
        <f t="shared" si="15"/>
        <v>251.30333333333331</v>
      </c>
      <c r="L161" s="3">
        <f t="shared" si="18"/>
        <v>6.8126713638225126E-6</v>
      </c>
      <c r="N161" s="16">
        <f>+L161*(assessment!$J$272*assessment!$F$3)</f>
        <v>210.83676099461931</v>
      </c>
      <c r="P161" s="6">
        <f>+N161/payroll!F161</f>
        <v>9.8750036751730119E-4</v>
      </c>
      <c r="R161" s="16">
        <f>IF(P161&lt;$R$2,N161, +payroll!F161 * $R$2)</f>
        <v>210.83676099461931</v>
      </c>
      <c r="T161" s="5">
        <f t="shared" si="16"/>
        <v>0</v>
      </c>
      <c r="V161">
        <f t="shared" si="17"/>
        <v>1</v>
      </c>
    </row>
    <row r="162" spans="1:22" outlineLevel="1">
      <c r="A162" t="s">
        <v>495</v>
      </c>
      <c r="B162" t="s">
        <v>496</v>
      </c>
      <c r="C162" s="40">
        <v>0</v>
      </c>
      <c r="D162" s="40">
        <v>0</v>
      </c>
      <c r="E162" s="40">
        <v>0</v>
      </c>
      <c r="F162" s="16"/>
      <c r="G162" s="16">
        <f t="shared" si="19"/>
        <v>0</v>
      </c>
      <c r="H162" s="14">
        <v>1</v>
      </c>
      <c r="J162" s="16">
        <f>+G162*H162</f>
        <v>0</v>
      </c>
      <c r="L162" s="3">
        <f t="shared" ref="L162:L195" si="20">+J162/$J$264</f>
        <v>0</v>
      </c>
      <c r="N162" s="16">
        <f>+L162*(assessment!$J$272*assessment!$F$3)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>+N162-R162</f>
        <v>0</v>
      </c>
      <c r="V162" t="e">
        <f t="shared" si="17"/>
        <v>#DIV/0!</v>
      </c>
    </row>
    <row r="163" spans="1:22" outlineLevel="1">
      <c r="A163" t="s">
        <v>253</v>
      </c>
      <c r="B163" t="s">
        <v>254</v>
      </c>
      <c r="C163" s="40">
        <v>13914.57</v>
      </c>
      <c r="D163" s="40">
        <v>-5584.55</v>
      </c>
      <c r="E163" s="40">
        <v>41827.83</v>
      </c>
      <c r="F163" s="16"/>
      <c r="G163" s="16">
        <f t="shared" si="19"/>
        <v>16719.283333333336</v>
      </c>
      <c r="H163" s="14">
        <v>1</v>
      </c>
      <c r="J163" s="16">
        <f t="shared" si="15"/>
        <v>16719.283333333336</v>
      </c>
      <c r="L163" s="3">
        <f t="shared" si="20"/>
        <v>4.532489930706651E-4</v>
      </c>
      <c r="N163" s="16">
        <f>+L163*(assessment!$J$272*assessment!$F$3)</f>
        <v>14027.030590460359</v>
      </c>
      <c r="P163" s="6">
        <f>+N163/payroll!F163</f>
        <v>9.8399847370707772E-4</v>
      </c>
      <c r="R163" s="16">
        <f>IF(P163&lt;$R$2,N163, +payroll!F163 * $R$2)</f>
        <v>14027.030590460359</v>
      </c>
      <c r="T163" s="5">
        <f t="shared" si="16"/>
        <v>0</v>
      </c>
      <c r="V163">
        <f t="shared" si="17"/>
        <v>1</v>
      </c>
    </row>
    <row r="164" spans="1:22" outlineLevel="1">
      <c r="A164" t="s">
        <v>255</v>
      </c>
      <c r="B164" t="s">
        <v>256</v>
      </c>
      <c r="C164" s="40">
        <v>0</v>
      </c>
      <c r="D164" s="40">
        <v>0</v>
      </c>
      <c r="E164" s="40">
        <v>0</v>
      </c>
      <c r="F164" s="16"/>
      <c r="G164" s="16">
        <f t="shared" si="19"/>
        <v>0</v>
      </c>
      <c r="H164" s="14">
        <v>1</v>
      </c>
      <c r="J164" s="16">
        <f t="shared" si="15"/>
        <v>0</v>
      </c>
      <c r="L164" s="3">
        <f t="shared" si="20"/>
        <v>0</v>
      </c>
      <c r="N164" s="16">
        <f>+L164*(assessment!$J$272*assessment!$F$3)</f>
        <v>0</v>
      </c>
      <c r="P164" s="6">
        <f>+N164/payroll!F164</f>
        <v>0</v>
      </c>
      <c r="R164" s="16">
        <f>IF(P164&lt;$R$2,N164, +payroll!F164 * $R$2)</f>
        <v>0</v>
      </c>
      <c r="T164" s="5">
        <f t="shared" si="16"/>
        <v>0</v>
      </c>
      <c r="V164" t="e">
        <f t="shared" si="17"/>
        <v>#DIV/0!</v>
      </c>
    </row>
    <row r="165" spans="1:22" outlineLevel="1">
      <c r="A165" t="s">
        <v>257</v>
      </c>
      <c r="B165" t="s">
        <v>258</v>
      </c>
      <c r="C165" s="40">
        <v>0</v>
      </c>
      <c r="D165" s="40">
        <v>0</v>
      </c>
      <c r="E165" s="40">
        <v>0</v>
      </c>
      <c r="F165" s="16"/>
      <c r="G165" s="16">
        <f t="shared" si="19"/>
        <v>0</v>
      </c>
      <c r="H165" s="14">
        <v>1</v>
      </c>
      <c r="J165" s="16">
        <f t="shared" ref="J165:J227" si="21">+G165*H165</f>
        <v>0</v>
      </c>
      <c r="L165" s="3">
        <f t="shared" si="20"/>
        <v>0</v>
      </c>
      <c r="N165" s="16">
        <f>+L165*(assessment!$J$272*assessment!$F$3)</f>
        <v>0</v>
      </c>
      <c r="P165" s="6">
        <f>+N165/payroll!F165</f>
        <v>0</v>
      </c>
      <c r="R165" s="16">
        <f>IF(P165&lt;$R$2,N165, +payroll!F165 * $R$2)</f>
        <v>0</v>
      </c>
      <c r="T165" s="5">
        <f t="shared" ref="T165:T227" si="22">+N165-R165</f>
        <v>0</v>
      </c>
      <c r="V165" t="e">
        <f t="shared" ref="V165:V227" si="23">+R165/N165</f>
        <v>#DIV/0!</v>
      </c>
    </row>
    <row r="166" spans="1:22" outlineLevel="1">
      <c r="A166" t="s">
        <v>259</v>
      </c>
      <c r="B166" t="s">
        <v>260</v>
      </c>
      <c r="C166" s="40">
        <v>0</v>
      </c>
      <c r="D166" s="40">
        <v>405.44</v>
      </c>
      <c r="E166" s="40">
        <v>143.56</v>
      </c>
      <c r="F166" s="16"/>
      <c r="G166" s="16">
        <f t="shared" si="19"/>
        <v>183</v>
      </c>
      <c r="H166" s="14">
        <v>1</v>
      </c>
      <c r="J166" s="16">
        <f t="shared" si="21"/>
        <v>183</v>
      </c>
      <c r="L166" s="3">
        <f t="shared" si="20"/>
        <v>4.9610120289405365E-6</v>
      </c>
      <c r="N166" s="16">
        <f>+L166*(assessment!$J$272*assessment!$F$3)</f>
        <v>153.53209505915297</v>
      </c>
      <c r="P166" s="6">
        <f>+N166/payroll!F166</f>
        <v>7.6293559104212658E-5</v>
      </c>
      <c r="R166" s="16">
        <f>IF(P166&lt;$R$2,N166, +payroll!F166 * $R$2)</f>
        <v>153.53209505915297</v>
      </c>
      <c r="T166" s="5">
        <f t="shared" si="22"/>
        <v>0</v>
      </c>
      <c r="V166">
        <f t="shared" si="23"/>
        <v>1</v>
      </c>
    </row>
    <row r="167" spans="1:22" outlineLevel="1">
      <c r="A167" t="s">
        <v>261</v>
      </c>
      <c r="B167" t="s">
        <v>262</v>
      </c>
      <c r="C167" s="40">
        <v>0</v>
      </c>
      <c r="D167" s="40">
        <v>0</v>
      </c>
      <c r="E167" s="40">
        <v>0</v>
      </c>
      <c r="F167" s="16"/>
      <c r="G167" s="16">
        <f t="shared" si="19"/>
        <v>0</v>
      </c>
      <c r="H167" s="14">
        <v>1</v>
      </c>
      <c r="J167" s="16">
        <f t="shared" si="21"/>
        <v>0</v>
      </c>
      <c r="L167" s="3">
        <f t="shared" si="20"/>
        <v>0</v>
      </c>
      <c r="N167" s="16">
        <f>+L167*(assessment!$J$272*assessment!$F$3)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22"/>
        <v>0</v>
      </c>
      <c r="V167" t="e">
        <f t="shared" si="23"/>
        <v>#DIV/0!</v>
      </c>
    </row>
    <row r="168" spans="1:22" outlineLevel="1">
      <c r="A168" t="s">
        <v>263</v>
      </c>
      <c r="B168" t="s">
        <v>264</v>
      </c>
      <c r="C168" s="40">
        <v>243.65</v>
      </c>
      <c r="D168" s="40">
        <v>0</v>
      </c>
      <c r="E168" s="40">
        <v>0</v>
      </c>
      <c r="F168" s="16"/>
      <c r="G168" s="16">
        <f t="shared" si="19"/>
        <v>81.216666666666669</v>
      </c>
      <c r="H168" s="14">
        <v>1</v>
      </c>
      <c r="J168" s="16">
        <f t="shared" si="21"/>
        <v>81.216666666666669</v>
      </c>
      <c r="L168" s="3">
        <f t="shared" si="20"/>
        <v>2.201731476960586E-6</v>
      </c>
      <c r="N168" s="16">
        <f>+L168*(assessment!$J$272*assessment!$F$3)</f>
        <v>68.138606486635013</v>
      </c>
      <c r="P168" s="6">
        <f>+N168/payroll!F168</f>
        <v>4.235262883689618E-5</v>
      </c>
      <c r="R168" s="16">
        <f>IF(P168&lt;$R$2,N168, +payroll!F168 * $R$2)</f>
        <v>68.138606486635013</v>
      </c>
      <c r="T168" s="5">
        <f t="shared" si="22"/>
        <v>0</v>
      </c>
      <c r="V168">
        <f t="shared" si="23"/>
        <v>1</v>
      </c>
    </row>
    <row r="169" spans="1:22" outlineLevel="1">
      <c r="A169" t="s">
        <v>265</v>
      </c>
      <c r="B169" t="s">
        <v>266</v>
      </c>
      <c r="C169" s="40">
        <v>0</v>
      </c>
      <c r="D169" s="40">
        <v>0</v>
      </c>
      <c r="E169" s="40">
        <v>0</v>
      </c>
      <c r="F169" s="16"/>
      <c r="G169" s="16">
        <f t="shared" si="19"/>
        <v>0</v>
      </c>
      <c r="H169" s="14">
        <v>1</v>
      </c>
      <c r="J169" s="16">
        <f t="shared" si="21"/>
        <v>0</v>
      </c>
      <c r="L169" s="3">
        <f t="shared" si="20"/>
        <v>0</v>
      </c>
      <c r="N169" s="16">
        <f>+L169*(assessment!$J$272*assessment!$F$3)</f>
        <v>0</v>
      </c>
      <c r="P169" s="6">
        <f>+N169/payroll!F169</f>
        <v>0</v>
      </c>
      <c r="R169" s="16">
        <f>IF(P169&lt;$R$2,N169, +payroll!F169 * $R$2)</f>
        <v>0</v>
      </c>
      <c r="T169" s="5">
        <f t="shared" si="22"/>
        <v>0</v>
      </c>
      <c r="V169" t="e">
        <f t="shared" si="23"/>
        <v>#DIV/0!</v>
      </c>
    </row>
    <row r="170" spans="1:22" outlineLevel="1">
      <c r="A170" t="s">
        <v>267</v>
      </c>
      <c r="B170" t="s">
        <v>268</v>
      </c>
      <c r="C170" s="40">
        <v>63005.18</v>
      </c>
      <c r="D170" s="40">
        <v>27138.59</v>
      </c>
      <c r="E170" s="40">
        <v>56372.76</v>
      </c>
      <c r="F170" s="16"/>
      <c r="G170" s="16">
        <f t="shared" si="19"/>
        <v>48838.843333333331</v>
      </c>
      <c r="H170" s="14">
        <v>1</v>
      </c>
      <c r="J170" s="16">
        <f t="shared" si="21"/>
        <v>48838.843333333331</v>
      </c>
      <c r="L170" s="3">
        <f t="shared" si="20"/>
        <v>1.3239895587770982E-3</v>
      </c>
      <c r="N170" s="16">
        <f>+L170*(assessment!$J$272*assessment!$F$3)</f>
        <v>40974.480531324654</v>
      </c>
      <c r="P170" s="6">
        <f>+N170/payroll!F170</f>
        <v>9.563366299945265E-3</v>
      </c>
      <c r="R170" s="16">
        <f>IF(P170&lt;$R$2,N170, +payroll!F170 * $R$2)</f>
        <v>40974.480531324654</v>
      </c>
      <c r="T170" s="5">
        <f t="shared" si="22"/>
        <v>0</v>
      </c>
      <c r="V170">
        <f t="shared" si="23"/>
        <v>1</v>
      </c>
    </row>
    <row r="171" spans="1:22" outlineLevel="1">
      <c r="A171" t="s">
        <v>269</v>
      </c>
      <c r="B171" t="s">
        <v>270</v>
      </c>
      <c r="C171" s="40">
        <v>0</v>
      </c>
      <c r="D171" s="40">
        <v>0</v>
      </c>
      <c r="E171" s="40">
        <v>0</v>
      </c>
      <c r="F171" s="16"/>
      <c r="G171" s="16">
        <f t="shared" si="19"/>
        <v>0</v>
      </c>
      <c r="H171" s="14">
        <v>1</v>
      </c>
      <c r="J171" s="16">
        <f t="shared" si="21"/>
        <v>0</v>
      </c>
      <c r="L171" s="3">
        <f t="shared" si="20"/>
        <v>0</v>
      </c>
      <c r="N171" s="16">
        <f>+L171*(assessment!$J$272*assessment!$F$3)</f>
        <v>0</v>
      </c>
      <c r="P171" s="6">
        <f>+N171/payroll!F171</f>
        <v>0</v>
      </c>
      <c r="R171" s="16">
        <f>IF(P171&lt;$R$2,N171, +payroll!F171 * $R$2)</f>
        <v>0</v>
      </c>
      <c r="T171" s="5">
        <f t="shared" si="22"/>
        <v>0</v>
      </c>
      <c r="V171" t="e">
        <f t="shared" si="23"/>
        <v>#DIV/0!</v>
      </c>
    </row>
    <row r="172" spans="1:22" outlineLevel="1">
      <c r="A172" t="s">
        <v>271</v>
      </c>
      <c r="B172" t="s">
        <v>272</v>
      </c>
      <c r="C172" s="40">
        <v>0</v>
      </c>
      <c r="D172" s="40">
        <v>0</v>
      </c>
      <c r="E172" s="40">
        <v>0</v>
      </c>
      <c r="F172" s="16"/>
      <c r="G172" s="16">
        <f t="shared" si="19"/>
        <v>0</v>
      </c>
      <c r="H172" s="14">
        <v>1</v>
      </c>
      <c r="J172" s="16">
        <f t="shared" si="21"/>
        <v>0</v>
      </c>
      <c r="L172" s="3">
        <f t="shared" si="20"/>
        <v>0</v>
      </c>
      <c r="N172" s="16">
        <f>+L172*(assessment!$J$272*assessment!$F$3)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22"/>
        <v>0</v>
      </c>
      <c r="V172" t="e">
        <f t="shared" si="23"/>
        <v>#DIV/0!</v>
      </c>
    </row>
    <row r="173" spans="1:22" outlineLevel="1">
      <c r="A173" t="s">
        <v>273</v>
      </c>
      <c r="B173" t="s">
        <v>274</v>
      </c>
      <c r="C173" s="40">
        <v>0</v>
      </c>
      <c r="D173" s="40">
        <v>0</v>
      </c>
      <c r="E173" s="40">
        <v>0</v>
      </c>
      <c r="F173" s="16"/>
      <c r="G173" s="16">
        <f t="shared" si="19"/>
        <v>0</v>
      </c>
      <c r="H173" s="14">
        <v>1</v>
      </c>
      <c r="J173" s="16">
        <f t="shared" si="21"/>
        <v>0</v>
      </c>
      <c r="L173" s="3">
        <f t="shared" si="20"/>
        <v>0</v>
      </c>
      <c r="N173" s="16">
        <f>+L173*(assessment!$J$272*assessment!$F$3)</f>
        <v>0</v>
      </c>
      <c r="P173" s="6">
        <f>+N173/payroll!F173</f>
        <v>0</v>
      </c>
      <c r="R173" s="16">
        <f>IF(P173&lt;$R$2,N173, +payroll!F173 * $R$2)</f>
        <v>0</v>
      </c>
      <c r="T173" s="5">
        <f t="shared" si="22"/>
        <v>0</v>
      </c>
      <c r="V173" t="e">
        <f t="shared" si="23"/>
        <v>#DIV/0!</v>
      </c>
    </row>
    <row r="174" spans="1:22" outlineLevel="1">
      <c r="A174" t="s">
        <v>275</v>
      </c>
      <c r="B174" t="s">
        <v>276</v>
      </c>
      <c r="C174" s="40">
        <v>8.65</v>
      </c>
      <c r="D174" s="40">
        <v>0</v>
      </c>
      <c r="E174" s="40">
        <v>0</v>
      </c>
      <c r="F174" s="16"/>
      <c r="G174" s="16">
        <f t="shared" si="19"/>
        <v>2.8833333333333333</v>
      </c>
      <c r="H174" s="14">
        <v>1</v>
      </c>
      <c r="J174" s="16">
        <f t="shared" si="21"/>
        <v>2.8833333333333333</v>
      </c>
      <c r="L174" s="3">
        <f t="shared" si="20"/>
        <v>7.8165307924108632E-8</v>
      </c>
      <c r="N174" s="16">
        <f>+L174*(assessment!$J$272*assessment!$F$3)</f>
        <v>2.4190393848117906</v>
      </c>
      <c r="P174" s="6">
        <f>+N174/payroll!F174</f>
        <v>5.2055171629101358E-6</v>
      </c>
      <c r="R174" s="16">
        <f>IF(P174&lt;$R$2,N174, +payroll!F174 * $R$2)</f>
        <v>2.4190393848117906</v>
      </c>
      <c r="T174" s="5">
        <f t="shared" si="22"/>
        <v>0</v>
      </c>
      <c r="V174">
        <f t="shared" si="23"/>
        <v>1</v>
      </c>
    </row>
    <row r="175" spans="1:22" outlineLevel="1">
      <c r="A175" t="s">
        <v>277</v>
      </c>
      <c r="B175" t="s">
        <v>278</v>
      </c>
      <c r="C175" s="40">
        <v>0</v>
      </c>
      <c r="D175" s="40">
        <v>0</v>
      </c>
      <c r="E175" s="40">
        <v>0</v>
      </c>
      <c r="F175" s="16"/>
      <c r="G175" s="16">
        <f t="shared" si="19"/>
        <v>0</v>
      </c>
      <c r="H175" s="14">
        <v>1</v>
      </c>
      <c r="J175" s="16">
        <f t="shared" si="21"/>
        <v>0</v>
      </c>
      <c r="L175" s="3">
        <f t="shared" si="20"/>
        <v>0</v>
      </c>
      <c r="N175" s="16">
        <f>+L175*(assessment!$J$272*assessment!$F$3)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22"/>
        <v>0</v>
      </c>
      <c r="V175" t="e">
        <f t="shared" si="23"/>
        <v>#DIV/0!</v>
      </c>
    </row>
    <row r="176" spans="1:22" outlineLevel="1">
      <c r="A176" t="s">
        <v>279</v>
      </c>
      <c r="B176" t="s">
        <v>280</v>
      </c>
      <c r="C176" s="40">
        <v>3596.06</v>
      </c>
      <c r="D176" s="40">
        <v>0</v>
      </c>
      <c r="E176" s="40">
        <v>228.38</v>
      </c>
      <c r="F176" s="16"/>
      <c r="G176" s="16">
        <f t="shared" si="19"/>
        <v>1274.8133333333333</v>
      </c>
      <c r="H176" s="14">
        <v>1</v>
      </c>
      <c r="J176" s="16">
        <f t="shared" si="21"/>
        <v>1274.8133333333333</v>
      </c>
      <c r="L176" s="3">
        <f t="shared" si="20"/>
        <v>3.4559367657488789E-5</v>
      </c>
      <c r="N176" s="16">
        <f>+L176*(assessment!$J$272*assessment!$F$3)</f>
        <v>1069.5342179016884</v>
      </c>
      <c r="P176" s="6">
        <f>+N176/payroll!F176</f>
        <v>3.6011170923432425E-4</v>
      </c>
      <c r="R176" s="16">
        <f>IF(P176&lt;$R$2,N176, +payroll!F176 * $R$2)</f>
        <v>1069.5342179016884</v>
      </c>
      <c r="T176" s="5">
        <f t="shared" si="22"/>
        <v>0</v>
      </c>
      <c r="V176">
        <f t="shared" si="23"/>
        <v>1</v>
      </c>
    </row>
    <row r="177" spans="1:22" outlineLevel="1">
      <c r="A177" t="s">
        <v>281</v>
      </c>
      <c r="B177" t="s">
        <v>282</v>
      </c>
      <c r="C177" s="40">
        <v>11250.51</v>
      </c>
      <c r="D177" s="40">
        <v>283.64999999999998</v>
      </c>
      <c r="E177" s="40">
        <v>-10618.7</v>
      </c>
      <c r="F177" s="16"/>
      <c r="G177" s="16">
        <f>IF(SUM(C177:E177)&gt;0,AVERAGE(C177:E177),0)</f>
        <v>305.15333333333302</v>
      </c>
      <c r="H177" s="14">
        <v>1</v>
      </c>
      <c r="J177" s="16">
        <f t="shared" si="21"/>
        <v>305.15333333333302</v>
      </c>
      <c r="L177" s="3">
        <f t="shared" si="20"/>
        <v>8.272510149387794E-6</v>
      </c>
      <c r="N177" s="16">
        <f>+L177*(assessment!$J$272*assessment!$F$3)</f>
        <v>256.01546765546817</v>
      </c>
      <c r="P177" s="6">
        <f>+N177/payroll!F177</f>
        <v>2.0382115326598676E-4</v>
      </c>
      <c r="R177" s="16">
        <f>IF(P177&lt;$R$2,N177, +payroll!F177 * $R$2)</f>
        <v>256.01546765546817</v>
      </c>
      <c r="T177" s="5">
        <f t="shared" si="22"/>
        <v>0</v>
      </c>
      <c r="V177">
        <f t="shared" si="23"/>
        <v>1</v>
      </c>
    </row>
    <row r="178" spans="1:22" outlineLevel="1">
      <c r="A178" t="s">
        <v>283</v>
      </c>
      <c r="B178" t="s">
        <v>284</v>
      </c>
      <c r="C178" s="40">
        <v>0</v>
      </c>
      <c r="D178" s="40">
        <v>0</v>
      </c>
      <c r="E178" s="40">
        <v>0</v>
      </c>
      <c r="F178" s="16"/>
      <c r="G178" s="16">
        <f t="shared" si="19"/>
        <v>0</v>
      </c>
      <c r="H178" s="14">
        <v>1</v>
      </c>
      <c r="J178" s="16">
        <f t="shared" si="21"/>
        <v>0</v>
      </c>
      <c r="L178" s="3">
        <f t="shared" si="20"/>
        <v>0</v>
      </c>
      <c r="N178" s="16">
        <f>+L178*(assessment!$J$272*assessment!$F$3)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22"/>
        <v>0</v>
      </c>
      <c r="V178" t="e">
        <f t="shared" si="23"/>
        <v>#DIV/0!</v>
      </c>
    </row>
    <row r="179" spans="1:22" outlineLevel="1">
      <c r="A179" t="s">
        <v>285</v>
      </c>
      <c r="B179" t="s">
        <v>286</v>
      </c>
      <c r="C179" s="40">
        <v>0</v>
      </c>
      <c r="D179" s="40">
        <v>0</v>
      </c>
      <c r="E179" s="40">
        <v>0</v>
      </c>
      <c r="F179" s="16"/>
      <c r="G179" s="16">
        <f t="shared" si="19"/>
        <v>0</v>
      </c>
      <c r="H179" s="14">
        <v>1</v>
      </c>
      <c r="J179" s="16">
        <f t="shared" si="21"/>
        <v>0</v>
      </c>
      <c r="L179" s="3">
        <f t="shared" si="20"/>
        <v>0</v>
      </c>
      <c r="N179" s="16">
        <f>+L179*(assessment!$J$272*assessment!$F$3)</f>
        <v>0</v>
      </c>
      <c r="P179" s="6">
        <f>+N179/payroll!F179</f>
        <v>0</v>
      </c>
      <c r="R179" s="16">
        <f>IF(P179&lt;$R$2,N179, +payroll!F179 * $R$2)</f>
        <v>0</v>
      </c>
      <c r="T179" s="5">
        <f t="shared" si="22"/>
        <v>0</v>
      </c>
      <c r="V179" t="e">
        <f t="shared" si="23"/>
        <v>#DIV/0!</v>
      </c>
    </row>
    <row r="180" spans="1:22" outlineLevel="1">
      <c r="A180" t="s">
        <v>287</v>
      </c>
      <c r="B180" t="s">
        <v>288</v>
      </c>
      <c r="C180" s="40">
        <v>495.43</v>
      </c>
      <c r="D180" s="40">
        <v>0</v>
      </c>
      <c r="E180" s="40">
        <v>574.87</v>
      </c>
      <c r="F180" s="16"/>
      <c r="G180" s="16">
        <f t="shared" si="19"/>
        <v>356.76666666666665</v>
      </c>
      <c r="H180" s="14">
        <v>1</v>
      </c>
      <c r="J180" s="16">
        <f t="shared" si="21"/>
        <v>356.76666666666665</v>
      </c>
      <c r="L180" s="3">
        <f t="shared" si="20"/>
        <v>9.6717143434882613E-6</v>
      </c>
      <c r="N180" s="16">
        <f>+L180*(assessment!$J$272*assessment!$F$3)</f>
        <v>299.31767093226119</v>
      </c>
      <c r="P180" s="6">
        <f>+N180/payroll!F180</f>
        <v>2.4635371185357678E-4</v>
      </c>
      <c r="R180" s="16">
        <f>IF(P180&lt;$R$2,N180, +payroll!F180 * $R$2)</f>
        <v>299.31767093226119</v>
      </c>
      <c r="T180" s="5">
        <f t="shared" si="22"/>
        <v>0</v>
      </c>
      <c r="V180">
        <f t="shared" si="23"/>
        <v>1</v>
      </c>
    </row>
    <row r="181" spans="1:22" outlineLevel="1">
      <c r="A181" t="s">
        <v>289</v>
      </c>
      <c r="B181" t="s">
        <v>290</v>
      </c>
      <c r="C181" s="40">
        <v>0</v>
      </c>
      <c r="D181" s="40">
        <v>0</v>
      </c>
      <c r="E181" s="40">
        <v>0</v>
      </c>
      <c r="F181" s="16"/>
      <c r="G181" s="16">
        <f t="shared" si="19"/>
        <v>0</v>
      </c>
      <c r="H181" s="14">
        <v>1</v>
      </c>
      <c r="J181" s="16">
        <f t="shared" si="21"/>
        <v>0</v>
      </c>
      <c r="L181" s="3">
        <f t="shared" si="20"/>
        <v>0</v>
      </c>
      <c r="N181" s="16">
        <f>+L181*(assessment!$J$272*assessment!$F$3)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22"/>
        <v>0</v>
      </c>
      <c r="V181" t="e">
        <f t="shared" si="23"/>
        <v>#DIV/0!</v>
      </c>
    </row>
    <row r="182" spans="1:22" outlineLevel="1">
      <c r="A182" t="s">
        <v>291</v>
      </c>
      <c r="B182" t="s">
        <v>292</v>
      </c>
      <c r="C182" s="40">
        <v>0</v>
      </c>
      <c r="D182" s="40">
        <v>0</v>
      </c>
      <c r="E182" s="40">
        <v>0</v>
      </c>
      <c r="F182" s="16"/>
      <c r="G182" s="16">
        <f t="shared" si="19"/>
        <v>0</v>
      </c>
      <c r="H182" s="14">
        <v>1</v>
      </c>
      <c r="J182" s="16">
        <f t="shared" si="21"/>
        <v>0</v>
      </c>
      <c r="L182" s="3">
        <f t="shared" si="20"/>
        <v>0</v>
      </c>
      <c r="N182" s="16">
        <f>+L182*(assessment!$J$272*assessment!$F$3)</f>
        <v>0</v>
      </c>
      <c r="P182" s="6">
        <f>+N182/payroll!F182</f>
        <v>0</v>
      </c>
      <c r="R182" s="16">
        <f>IF(P182&lt;$R$2,N182, +payroll!F182 * $R$2)</f>
        <v>0</v>
      </c>
      <c r="T182" s="5">
        <f t="shared" si="22"/>
        <v>0</v>
      </c>
      <c r="V182" t="e">
        <f t="shared" si="23"/>
        <v>#DIV/0!</v>
      </c>
    </row>
    <row r="183" spans="1:22" outlineLevel="1">
      <c r="A183" t="s">
        <v>293</v>
      </c>
      <c r="B183" t="s">
        <v>294</v>
      </c>
      <c r="C183" s="40">
        <v>0</v>
      </c>
      <c r="D183" s="40">
        <v>0</v>
      </c>
      <c r="E183" s="40">
        <v>0</v>
      </c>
      <c r="F183" s="16"/>
      <c r="G183" s="16">
        <f t="shared" si="19"/>
        <v>0</v>
      </c>
      <c r="H183" s="14">
        <v>1</v>
      </c>
      <c r="J183" s="16">
        <f t="shared" si="21"/>
        <v>0</v>
      </c>
      <c r="L183" s="3">
        <f t="shared" si="20"/>
        <v>0</v>
      </c>
      <c r="N183" s="16">
        <f>+L183*(assessment!$J$272*assessment!$F$3)</f>
        <v>0</v>
      </c>
      <c r="P183" s="6">
        <f>+N183/payroll!F183</f>
        <v>0</v>
      </c>
      <c r="R183" s="16">
        <f>IF(P183&lt;$R$2,N183, +payroll!F183 * $R$2)</f>
        <v>0</v>
      </c>
      <c r="T183" s="5">
        <f t="shared" si="22"/>
        <v>0</v>
      </c>
      <c r="V183" t="e">
        <f t="shared" si="23"/>
        <v>#DIV/0!</v>
      </c>
    </row>
    <row r="184" spans="1:22" outlineLevel="1">
      <c r="A184" t="s">
        <v>295</v>
      </c>
      <c r="B184" t="s">
        <v>296</v>
      </c>
      <c r="C184" s="40">
        <v>47206.32</v>
      </c>
      <c r="D184" s="40">
        <v>135859.57</v>
      </c>
      <c r="E184" s="40">
        <v>96507.35</v>
      </c>
      <c r="F184" s="16"/>
      <c r="G184" s="16">
        <f t="shared" si="19"/>
        <v>93191.08</v>
      </c>
      <c r="H184" s="14">
        <v>1</v>
      </c>
      <c r="J184" s="16">
        <f t="shared" si="21"/>
        <v>93191.08</v>
      </c>
      <c r="L184" s="3">
        <f t="shared" si="20"/>
        <v>2.5263501031145348E-3</v>
      </c>
      <c r="N184" s="16">
        <f>+L184*(assessment!$J$272*assessment!$F$3)</f>
        <v>78184.818323634579</v>
      </c>
      <c r="P184" s="6">
        <f>+N184/payroll!F184</f>
        <v>4.4350158337764633E-3</v>
      </c>
      <c r="R184" s="16">
        <f>IF(P184&lt;$R$2,N184, +payroll!F184 * $R$2)</f>
        <v>78184.818323634579</v>
      </c>
      <c r="T184" s="5">
        <f t="shared" si="22"/>
        <v>0</v>
      </c>
      <c r="V184">
        <f t="shared" si="23"/>
        <v>1</v>
      </c>
    </row>
    <row r="185" spans="1:22" outlineLevel="1">
      <c r="A185" t="s">
        <v>297</v>
      </c>
      <c r="B185" t="s">
        <v>298</v>
      </c>
      <c r="C185" s="40">
        <v>8.1999999999999993</v>
      </c>
      <c r="D185" s="40">
        <v>0</v>
      </c>
      <c r="E185" s="40">
        <v>0</v>
      </c>
      <c r="F185" s="16"/>
      <c r="G185" s="16">
        <f t="shared" si="19"/>
        <v>2.7333333333333329</v>
      </c>
      <c r="H185" s="14">
        <v>1</v>
      </c>
      <c r="J185" s="16">
        <f t="shared" si="21"/>
        <v>2.7333333333333329</v>
      </c>
      <c r="L185" s="3">
        <f t="shared" si="20"/>
        <v>7.409890462169835E-8</v>
      </c>
      <c r="N185" s="16">
        <f>+L185*(assessment!$J$272*assessment!$F$3)</f>
        <v>2.2931934052551077</v>
      </c>
      <c r="P185" s="6">
        <f>+N185/payroll!F185</f>
        <v>7.6141824306055226E-6</v>
      </c>
      <c r="R185" s="16">
        <f>IF(P185&lt;$R$2,N185, +payroll!F185 * $R$2)</f>
        <v>2.2931934052551077</v>
      </c>
      <c r="T185" s="5">
        <f t="shared" si="22"/>
        <v>0</v>
      </c>
      <c r="V185">
        <f t="shared" si="23"/>
        <v>1</v>
      </c>
    </row>
    <row r="186" spans="1:22" outlineLevel="1">
      <c r="A186" t="s">
        <v>299</v>
      </c>
      <c r="B186" t="s">
        <v>300</v>
      </c>
      <c r="C186" s="40">
        <v>0</v>
      </c>
      <c r="D186" s="40">
        <v>0</v>
      </c>
      <c r="E186" s="40">
        <v>0</v>
      </c>
      <c r="F186" s="16"/>
      <c r="G186" s="16">
        <f t="shared" si="19"/>
        <v>0</v>
      </c>
      <c r="H186" s="14">
        <v>1</v>
      </c>
      <c r="J186" s="16">
        <f t="shared" si="21"/>
        <v>0</v>
      </c>
      <c r="L186" s="3">
        <f t="shared" si="20"/>
        <v>0</v>
      </c>
      <c r="N186" s="16">
        <f>+L186*(assessment!$J$272*assessment!$F$3)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22"/>
        <v>0</v>
      </c>
      <c r="V186" t="e">
        <f t="shared" si="23"/>
        <v>#DIV/0!</v>
      </c>
    </row>
    <row r="187" spans="1:22" outlineLevel="1">
      <c r="A187" t="s">
        <v>301</v>
      </c>
      <c r="B187" t="s">
        <v>302</v>
      </c>
      <c r="C187" s="40">
        <v>0</v>
      </c>
      <c r="D187" s="40">
        <v>0</v>
      </c>
      <c r="E187" s="40">
        <v>0</v>
      </c>
      <c r="F187" s="16"/>
      <c r="G187" s="16">
        <f t="shared" si="19"/>
        <v>0</v>
      </c>
      <c r="H187" s="14">
        <v>1</v>
      </c>
      <c r="J187" s="16">
        <f t="shared" si="21"/>
        <v>0</v>
      </c>
      <c r="L187" s="3">
        <f t="shared" si="20"/>
        <v>0</v>
      </c>
      <c r="N187" s="16">
        <f>+L187*(assessment!$J$272*assessment!$F$3)</f>
        <v>0</v>
      </c>
      <c r="P187" s="6">
        <f>+N187/payroll!F187</f>
        <v>0</v>
      </c>
      <c r="R187" s="16">
        <f>IF(P187&lt;$R$2,N187, +payroll!F187 * $R$2)</f>
        <v>0</v>
      </c>
      <c r="T187" s="5">
        <f t="shared" si="22"/>
        <v>0</v>
      </c>
      <c r="V187" t="e">
        <f t="shared" si="23"/>
        <v>#DIV/0!</v>
      </c>
    </row>
    <row r="188" spans="1:22" outlineLevel="1">
      <c r="A188" t="s">
        <v>303</v>
      </c>
      <c r="B188" t="s">
        <v>304</v>
      </c>
      <c r="C188" s="40">
        <v>12121.74</v>
      </c>
      <c r="D188" s="40">
        <v>8.9499999999999993</v>
      </c>
      <c r="E188" s="40">
        <v>5009.66</v>
      </c>
      <c r="F188" s="16"/>
      <c r="G188" s="16">
        <f t="shared" si="19"/>
        <v>5713.45</v>
      </c>
      <c r="H188" s="14">
        <v>1</v>
      </c>
      <c r="J188" s="16">
        <f t="shared" si="21"/>
        <v>5713.45</v>
      </c>
      <c r="L188" s="3">
        <f t="shared" si="20"/>
        <v>1.5488794632103993E-4</v>
      </c>
      <c r="N188" s="16">
        <f>+L188*(assessment!$J$272*assessment!$F$3)</f>
        <v>4793.431412654194</v>
      </c>
      <c r="P188" s="6">
        <f>+N188/payroll!F188</f>
        <v>9.6553971339850657E-4</v>
      </c>
      <c r="R188" s="16">
        <f>IF(P188&lt;$R$2,N188, +payroll!F188 * $R$2)</f>
        <v>4793.431412654194</v>
      </c>
      <c r="T188" s="5">
        <f t="shared" si="22"/>
        <v>0</v>
      </c>
      <c r="V188">
        <f t="shared" si="23"/>
        <v>1</v>
      </c>
    </row>
    <row r="189" spans="1:22" outlineLevel="1">
      <c r="A189" t="s">
        <v>305</v>
      </c>
      <c r="B189" t="s">
        <v>306</v>
      </c>
      <c r="C189" s="40">
        <v>0</v>
      </c>
      <c r="D189" s="40">
        <v>0</v>
      </c>
      <c r="E189" s="40">
        <v>0</v>
      </c>
      <c r="F189" s="16"/>
      <c r="G189" s="16">
        <f t="shared" si="19"/>
        <v>0</v>
      </c>
      <c r="H189" s="14">
        <v>1</v>
      </c>
      <c r="J189" s="16">
        <f t="shared" si="21"/>
        <v>0</v>
      </c>
      <c r="L189" s="3">
        <f t="shared" si="20"/>
        <v>0</v>
      </c>
      <c r="N189" s="16">
        <f>+L189*(assessment!$J$272*assessment!$F$3)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2"/>
        <v>0</v>
      </c>
      <c r="V189" t="e">
        <f t="shared" si="23"/>
        <v>#DIV/0!</v>
      </c>
    </row>
    <row r="190" spans="1:22" outlineLevel="1">
      <c r="A190" t="s">
        <v>307</v>
      </c>
      <c r="B190" t="s">
        <v>308</v>
      </c>
      <c r="C190" s="40">
        <v>0</v>
      </c>
      <c r="D190" s="40">
        <v>0</v>
      </c>
      <c r="E190" s="40">
        <v>0</v>
      </c>
      <c r="F190" s="16"/>
      <c r="G190" s="16">
        <f t="shared" si="19"/>
        <v>0</v>
      </c>
      <c r="H190" s="14">
        <v>1</v>
      </c>
      <c r="J190" s="16">
        <f t="shared" si="21"/>
        <v>0</v>
      </c>
      <c r="L190" s="3">
        <f t="shared" si="20"/>
        <v>0</v>
      </c>
      <c r="N190" s="16">
        <f>+L190*(assessment!$J$272*assessment!$F$3)</f>
        <v>0</v>
      </c>
      <c r="P190" s="6">
        <f>+N190/payroll!F190</f>
        <v>0</v>
      </c>
      <c r="R190" s="16">
        <f>IF(P190&lt;$R$2,N190, +payroll!F190 * $R$2)</f>
        <v>0</v>
      </c>
      <c r="T190" s="5">
        <f t="shared" si="22"/>
        <v>0</v>
      </c>
      <c r="V190" t="e">
        <f t="shared" si="23"/>
        <v>#DIV/0!</v>
      </c>
    </row>
    <row r="191" spans="1:22" outlineLevel="1">
      <c r="A191" t="s">
        <v>309</v>
      </c>
      <c r="B191" t="s">
        <v>310</v>
      </c>
      <c r="C191" s="40">
        <v>0</v>
      </c>
      <c r="D191" s="40">
        <v>0</v>
      </c>
      <c r="E191" s="40">
        <v>0</v>
      </c>
      <c r="F191" s="16"/>
      <c r="G191" s="16">
        <f t="shared" si="19"/>
        <v>0</v>
      </c>
      <c r="H191" s="14">
        <v>1</v>
      </c>
      <c r="J191" s="16">
        <f t="shared" si="21"/>
        <v>0</v>
      </c>
      <c r="L191" s="3">
        <f t="shared" si="20"/>
        <v>0</v>
      </c>
      <c r="N191" s="16">
        <f>+L191*(assessment!$J$272*assessment!$F$3)</f>
        <v>0</v>
      </c>
      <c r="P191" s="6">
        <f>+N191/payroll!F191</f>
        <v>0</v>
      </c>
      <c r="R191" s="16">
        <f>IF(P191&lt;$R$2,N191, +payroll!F191 * $R$2)</f>
        <v>0</v>
      </c>
      <c r="T191" s="5">
        <f t="shared" si="22"/>
        <v>0</v>
      </c>
      <c r="V191" t="e">
        <f t="shared" si="23"/>
        <v>#DIV/0!</v>
      </c>
    </row>
    <row r="192" spans="1:22" outlineLevel="1">
      <c r="A192" t="s">
        <v>311</v>
      </c>
      <c r="B192" t="s">
        <v>312</v>
      </c>
      <c r="C192" s="40">
        <v>0</v>
      </c>
      <c r="D192" s="40">
        <v>0</v>
      </c>
      <c r="E192" s="40">
        <v>0</v>
      </c>
      <c r="F192" s="16"/>
      <c r="G192" s="16">
        <f t="shared" si="19"/>
        <v>0</v>
      </c>
      <c r="H192" s="14">
        <v>1</v>
      </c>
      <c r="J192" s="16">
        <f t="shared" si="21"/>
        <v>0</v>
      </c>
      <c r="L192" s="3">
        <f t="shared" si="20"/>
        <v>0</v>
      </c>
      <c r="N192" s="16">
        <f>+L192*(assessment!$J$272*assessment!$F$3)</f>
        <v>0</v>
      </c>
      <c r="P192" s="6">
        <f>+N192/payroll!F192</f>
        <v>0</v>
      </c>
      <c r="R192" s="16">
        <f>IF(P192&lt;$R$2,N192, +payroll!F192 * $R$2)</f>
        <v>0</v>
      </c>
      <c r="T192" s="5">
        <f t="shared" si="22"/>
        <v>0</v>
      </c>
      <c r="V192" t="e">
        <f t="shared" si="23"/>
        <v>#DIV/0!</v>
      </c>
    </row>
    <row r="193" spans="1:22" outlineLevel="1">
      <c r="A193" t="s">
        <v>313</v>
      </c>
      <c r="B193" t="s">
        <v>314</v>
      </c>
      <c r="C193" s="40">
        <v>0</v>
      </c>
      <c r="D193" s="40">
        <v>0</v>
      </c>
      <c r="E193" s="40">
        <v>0</v>
      </c>
      <c r="F193" s="16"/>
      <c r="G193" s="16">
        <f t="shared" si="19"/>
        <v>0</v>
      </c>
      <c r="H193" s="14">
        <v>1</v>
      </c>
      <c r="J193" s="16">
        <f t="shared" si="21"/>
        <v>0</v>
      </c>
      <c r="L193" s="3">
        <f t="shared" si="20"/>
        <v>0</v>
      </c>
      <c r="N193" s="16">
        <f>+L193*(assessment!$J$272*assessment!$F$3)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22"/>
        <v>0</v>
      </c>
      <c r="V193" t="e">
        <f t="shared" si="23"/>
        <v>#DIV/0!</v>
      </c>
    </row>
    <row r="194" spans="1:22" outlineLevel="1">
      <c r="A194" t="s">
        <v>315</v>
      </c>
      <c r="B194" t="s">
        <v>316</v>
      </c>
      <c r="C194" s="40">
        <v>0</v>
      </c>
      <c r="D194" s="40">
        <v>0</v>
      </c>
      <c r="E194" s="40">
        <v>0</v>
      </c>
      <c r="F194" s="16"/>
      <c r="G194" s="16">
        <f t="shared" si="19"/>
        <v>0</v>
      </c>
      <c r="H194" s="14">
        <v>1</v>
      </c>
      <c r="J194" s="16">
        <f t="shared" si="21"/>
        <v>0</v>
      </c>
      <c r="L194" s="3">
        <f t="shared" si="20"/>
        <v>0</v>
      </c>
      <c r="N194" s="16">
        <f>+L194*(assessment!$J$272*assessment!$F$3)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22"/>
        <v>0</v>
      </c>
      <c r="V194" t="e">
        <f t="shared" si="23"/>
        <v>#DIV/0!</v>
      </c>
    </row>
    <row r="195" spans="1:22" outlineLevel="1">
      <c r="A195" t="s">
        <v>317</v>
      </c>
      <c r="B195" t="s">
        <v>318</v>
      </c>
      <c r="C195" s="40">
        <v>0</v>
      </c>
      <c r="D195" s="40">
        <v>0</v>
      </c>
      <c r="E195" s="40">
        <v>0</v>
      </c>
      <c r="F195" s="16"/>
      <c r="G195" s="16">
        <f t="shared" si="19"/>
        <v>0</v>
      </c>
      <c r="H195" s="14">
        <v>1</v>
      </c>
      <c r="J195" s="16">
        <f t="shared" si="21"/>
        <v>0</v>
      </c>
      <c r="L195" s="3">
        <f t="shared" si="20"/>
        <v>0</v>
      </c>
      <c r="N195" s="16">
        <f>+L195*(assessment!$J$272*assessment!$F$3)</f>
        <v>0</v>
      </c>
      <c r="P195" s="6">
        <f>+N195/payroll!F195</f>
        <v>0</v>
      </c>
      <c r="R195" s="16">
        <f>IF(P195&lt;$R$2,N195, +payroll!F195 * $R$2)</f>
        <v>0</v>
      </c>
      <c r="T195" s="5">
        <f t="shared" si="22"/>
        <v>0</v>
      </c>
      <c r="V195" t="e">
        <f t="shared" si="23"/>
        <v>#DIV/0!</v>
      </c>
    </row>
    <row r="196" spans="1:22" outlineLevel="1">
      <c r="A196" t="s">
        <v>319</v>
      </c>
      <c r="B196" t="s">
        <v>320</v>
      </c>
      <c r="C196" s="40">
        <v>0</v>
      </c>
      <c r="D196" s="40">
        <v>0</v>
      </c>
      <c r="E196" s="40">
        <v>0</v>
      </c>
      <c r="F196" s="16"/>
      <c r="G196" s="16">
        <f t="shared" ref="G196:G260" si="24">IF(SUM(C196:E196)&gt;0,AVERAGE(C196:E196),0)</f>
        <v>0</v>
      </c>
      <c r="H196" s="14">
        <v>1</v>
      </c>
      <c r="J196" s="16">
        <f t="shared" si="21"/>
        <v>0</v>
      </c>
      <c r="L196" s="3">
        <f t="shared" ref="L196:L226" si="25">+J196/$J$264</f>
        <v>0</v>
      </c>
      <c r="N196" s="16">
        <f>+L196*(assessment!$J$272*assessment!$F$3)</f>
        <v>0</v>
      </c>
      <c r="P196" s="6">
        <f>+N196/payroll!F196</f>
        <v>0</v>
      </c>
      <c r="R196" s="16">
        <f>IF(P196&lt;$R$2,N196, +payroll!F196 * $R$2)</f>
        <v>0</v>
      </c>
      <c r="T196" s="5">
        <f t="shared" si="22"/>
        <v>0</v>
      </c>
      <c r="V196" t="e">
        <f t="shared" si="23"/>
        <v>#DIV/0!</v>
      </c>
    </row>
    <row r="197" spans="1:22" outlineLevel="1">
      <c r="A197" t="s">
        <v>321</v>
      </c>
      <c r="B197" t="s">
        <v>322</v>
      </c>
      <c r="C197" s="40">
        <v>0</v>
      </c>
      <c r="D197" s="40">
        <v>27.31</v>
      </c>
      <c r="E197" s="40">
        <v>17760.28</v>
      </c>
      <c r="F197" s="16"/>
      <c r="G197" s="16">
        <f t="shared" si="24"/>
        <v>5929.1966666666667</v>
      </c>
      <c r="H197" s="14">
        <v>1</v>
      </c>
      <c r="J197" s="16">
        <f t="shared" si="21"/>
        <v>5929.1966666666667</v>
      </c>
      <c r="L197" s="3">
        <f t="shared" si="25"/>
        <v>1.6073669937315555E-4</v>
      </c>
      <c r="N197" s="16">
        <f>+L197*(assessment!$J$272*assessment!$F$3)</f>
        <v>4974.4370833392322</v>
      </c>
      <c r="P197" s="6">
        <f>+N197/payroll!F197</f>
        <v>1.8612802597067636E-3</v>
      </c>
      <c r="R197" s="16">
        <f>IF(P197&lt;$R$2,N197, +payroll!F197 * $R$2)</f>
        <v>4974.4370833392322</v>
      </c>
      <c r="T197" s="5">
        <f t="shared" si="22"/>
        <v>0</v>
      </c>
      <c r="V197">
        <f t="shared" si="23"/>
        <v>1</v>
      </c>
    </row>
    <row r="198" spans="1:22" outlineLevel="1">
      <c r="A198" t="s">
        <v>323</v>
      </c>
      <c r="B198" t="s">
        <v>324</v>
      </c>
      <c r="C198" s="40">
        <v>0</v>
      </c>
      <c r="D198" s="40">
        <v>0</v>
      </c>
      <c r="E198" s="40">
        <v>0</v>
      </c>
      <c r="F198" s="16"/>
      <c r="G198" s="16">
        <f t="shared" si="24"/>
        <v>0</v>
      </c>
      <c r="H198" s="14">
        <v>1</v>
      </c>
      <c r="J198" s="16">
        <f t="shared" si="21"/>
        <v>0</v>
      </c>
      <c r="L198" s="3">
        <f t="shared" si="25"/>
        <v>0</v>
      </c>
      <c r="N198" s="16">
        <f>+L198*(assessment!$J$272*assessment!$F$3)</f>
        <v>0</v>
      </c>
      <c r="P198" s="6">
        <f>+N198/payroll!F198</f>
        <v>0</v>
      </c>
      <c r="R198" s="16">
        <f>IF(P198&lt;$R$2,N198, +payroll!F198 * $R$2)</f>
        <v>0</v>
      </c>
      <c r="T198" s="5">
        <f t="shared" si="22"/>
        <v>0</v>
      </c>
      <c r="V198" t="e">
        <f t="shared" si="23"/>
        <v>#DIV/0!</v>
      </c>
    </row>
    <row r="199" spans="1:22" outlineLevel="1">
      <c r="A199" t="s">
        <v>325</v>
      </c>
      <c r="B199" t="s">
        <v>326</v>
      </c>
      <c r="C199" s="40">
        <v>9180.06</v>
      </c>
      <c r="D199" s="40">
        <v>804.56</v>
      </c>
      <c r="E199" s="40">
        <v>3862.94</v>
      </c>
      <c r="F199" s="16"/>
      <c r="G199" s="16">
        <f t="shared" si="24"/>
        <v>4615.8533333333335</v>
      </c>
      <c r="H199" s="14">
        <v>1</v>
      </c>
      <c r="J199" s="16">
        <f t="shared" si="21"/>
        <v>4615.8533333333335</v>
      </c>
      <c r="L199" s="3">
        <f t="shared" si="25"/>
        <v>1.2513280825405431E-4</v>
      </c>
      <c r="N199" s="16">
        <f>+L199*(assessment!$J$272*assessment!$F$3)</f>
        <v>3872.5772281554173</v>
      </c>
      <c r="P199" s="6">
        <f>+N199/payroll!F199</f>
        <v>2.7701664674342789E-3</v>
      </c>
      <c r="R199" s="16">
        <f>IF(P199&lt;$R$2,N199, +payroll!F199 * $R$2)</f>
        <v>3872.5772281554173</v>
      </c>
      <c r="T199" s="5">
        <f t="shared" si="22"/>
        <v>0</v>
      </c>
      <c r="V199">
        <f t="shared" si="23"/>
        <v>1</v>
      </c>
    </row>
    <row r="200" spans="1:22" outlineLevel="1">
      <c r="A200" t="s">
        <v>327</v>
      </c>
      <c r="B200" t="s">
        <v>328</v>
      </c>
      <c r="C200" s="40">
        <v>0</v>
      </c>
      <c r="D200" s="40">
        <v>0</v>
      </c>
      <c r="E200" s="40">
        <v>0</v>
      </c>
      <c r="F200" s="16"/>
      <c r="G200" s="16">
        <f t="shared" si="24"/>
        <v>0</v>
      </c>
      <c r="H200" s="14">
        <v>1</v>
      </c>
      <c r="J200" s="16">
        <f t="shared" si="21"/>
        <v>0</v>
      </c>
      <c r="L200" s="3">
        <f t="shared" si="25"/>
        <v>0</v>
      </c>
      <c r="N200" s="16">
        <f>+L200*(assessment!$J$272*assessment!$F$3)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22"/>
        <v>0</v>
      </c>
      <c r="V200" t="e">
        <f t="shared" si="23"/>
        <v>#DIV/0!</v>
      </c>
    </row>
    <row r="201" spans="1:22" outlineLevel="1">
      <c r="A201" t="s">
        <v>329</v>
      </c>
      <c r="B201" t="s">
        <v>330</v>
      </c>
      <c r="C201" s="40">
        <v>0</v>
      </c>
      <c r="D201" s="40">
        <v>0</v>
      </c>
      <c r="E201" s="40">
        <v>0</v>
      </c>
      <c r="F201" s="16"/>
      <c r="G201" s="16">
        <f t="shared" si="24"/>
        <v>0</v>
      </c>
      <c r="H201" s="14">
        <v>1</v>
      </c>
      <c r="J201" s="16">
        <f t="shared" si="21"/>
        <v>0</v>
      </c>
      <c r="L201" s="3">
        <f t="shared" si="25"/>
        <v>0</v>
      </c>
      <c r="N201" s="16">
        <f>+L201*(assessment!$J$272*assessment!$F$3)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 t="shared" si="22"/>
        <v>0</v>
      </c>
      <c r="V201" t="e">
        <f t="shared" si="23"/>
        <v>#DIV/0!</v>
      </c>
    </row>
    <row r="202" spans="1:22" outlineLevel="1">
      <c r="A202" t="s">
        <v>505</v>
      </c>
      <c r="B202" t="s">
        <v>503</v>
      </c>
      <c r="C202" s="40">
        <v>0</v>
      </c>
      <c r="D202" s="40">
        <v>0</v>
      </c>
      <c r="E202" s="40">
        <v>0</v>
      </c>
      <c r="F202" s="16"/>
      <c r="G202" s="16">
        <f t="shared" si="24"/>
        <v>0</v>
      </c>
      <c r="H202" s="14">
        <v>1</v>
      </c>
      <c r="J202" s="16">
        <f>+G202*H202</f>
        <v>0</v>
      </c>
      <c r="L202" s="3">
        <f t="shared" si="25"/>
        <v>0</v>
      </c>
      <c r="N202" s="16">
        <f>+L202*(assessment!$J$272*assessment!$F$3)</f>
        <v>0</v>
      </c>
      <c r="P202" s="6">
        <f>+N202/payroll!F202</f>
        <v>0</v>
      </c>
      <c r="R202" s="16">
        <f>IF(P202&lt;$R$2,N202, +payroll!F202 * $R$2)</f>
        <v>0</v>
      </c>
      <c r="T202" s="5">
        <f>+N202-R202</f>
        <v>0</v>
      </c>
      <c r="V202" t="e">
        <f>+R202/N202</f>
        <v>#DIV/0!</v>
      </c>
    </row>
    <row r="203" spans="1:22" outlineLevel="1">
      <c r="A203" t="s">
        <v>331</v>
      </c>
      <c r="B203" t="s">
        <v>332</v>
      </c>
      <c r="C203" s="40">
        <v>0</v>
      </c>
      <c r="D203" s="40">
        <v>3157.59</v>
      </c>
      <c r="E203" s="40">
        <v>0</v>
      </c>
      <c r="F203" s="16"/>
      <c r="G203" s="16">
        <f t="shared" si="24"/>
        <v>1052.53</v>
      </c>
      <c r="H203" s="14">
        <v>1</v>
      </c>
      <c r="J203" s="16">
        <f t="shared" si="21"/>
        <v>1052.53</v>
      </c>
      <c r="L203" s="3">
        <f t="shared" si="25"/>
        <v>2.8533409785905915E-5</v>
      </c>
      <c r="N203" s="16">
        <f>+L203*(assessment!$J$272*assessment!$F$3)</f>
        <v>883.04445908530192</v>
      </c>
      <c r="P203" s="6">
        <f>+N203/payroll!F203</f>
        <v>9.5290329745778871E-4</v>
      </c>
      <c r="R203" s="16">
        <f>IF(P203&lt;$R$2,N203, +payroll!F203 * $R$2)</f>
        <v>883.04445908530192</v>
      </c>
      <c r="T203" s="5">
        <f t="shared" si="22"/>
        <v>0</v>
      </c>
      <c r="V203">
        <f t="shared" si="23"/>
        <v>1</v>
      </c>
    </row>
    <row r="204" spans="1:22" outlineLevel="1">
      <c r="A204" t="s">
        <v>333</v>
      </c>
      <c r="B204" t="s">
        <v>334</v>
      </c>
      <c r="C204" s="40">
        <v>0</v>
      </c>
      <c r="D204" s="40">
        <v>0</v>
      </c>
      <c r="E204" s="40">
        <v>0</v>
      </c>
      <c r="F204" s="16"/>
      <c r="G204" s="16">
        <f t="shared" si="24"/>
        <v>0</v>
      </c>
      <c r="H204" s="14">
        <v>1</v>
      </c>
      <c r="J204" s="16">
        <f t="shared" si="21"/>
        <v>0</v>
      </c>
      <c r="L204" s="3">
        <f t="shared" si="25"/>
        <v>0</v>
      </c>
      <c r="N204" s="16">
        <f>+L204*(assessment!$J$272*assessment!$F$3)</f>
        <v>0</v>
      </c>
      <c r="P204" s="6">
        <f>+N204/payroll!F204</f>
        <v>0</v>
      </c>
      <c r="R204" s="16">
        <f>IF(P204&lt;$R$2,N204, +payroll!F204 * $R$2)</f>
        <v>0</v>
      </c>
      <c r="T204" s="5">
        <f t="shared" si="22"/>
        <v>0</v>
      </c>
      <c r="V204" t="e">
        <f t="shared" si="23"/>
        <v>#DIV/0!</v>
      </c>
    </row>
    <row r="205" spans="1:22" outlineLevel="1">
      <c r="A205" t="s">
        <v>335</v>
      </c>
      <c r="B205" t="s">
        <v>336</v>
      </c>
      <c r="C205" s="40">
        <v>0</v>
      </c>
      <c r="D205" s="40">
        <v>0</v>
      </c>
      <c r="E205" s="40">
        <v>0</v>
      </c>
      <c r="F205" s="16"/>
      <c r="G205" s="16">
        <f t="shared" si="24"/>
        <v>0</v>
      </c>
      <c r="H205" s="14">
        <v>1</v>
      </c>
      <c r="J205" s="16">
        <f t="shared" si="21"/>
        <v>0</v>
      </c>
      <c r="L205" s="3">
        <f t="shared" si="25"/>
        <v>0</v>
      </c>
      <c r="N205" s="16">
        <f>+L205*(assessment!$J$272*assessment!$F$3)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 t="shared" si="22"/>
        <v>0</v>
      </c>
      <c r="V205" t="e">
        <f t="shared" si="23"/>
        <v>#DIV/0!</v>
      </c>
    </row>
    <row r="206" spans="1:22" outlineLevel="1">
      <c r="A206" t="s">
        <v>337</v>
      </c>
      <c r="B206" t="s">
        <v>338</v>
      </c>
      <c r="C206" s="40">
        <v>0</v>
      </c>
      <c r="D206" s="40">
        <v>0</v>
      </c>
      <c r="E206" s="40">
        <v>0</v>
      </c>
      <c r="F206" s="16"/>
      <c r="G206" s="16">
        <f t="shared" si="24"/>
        <v>0</v>
      </c>
      <c r="H206" s="14">
        <v>1</v>
      </c>
      <c r="J206" s="16">
        <f t="shared" si="21"/>
        <v>0</v>
      </c>
      <c r="L206" s="3">
        <f t="shared" si="25"/>
        <v>0</v>
      </c>
      <c r="N206" s="16">
        <f>+L206*(assessment!$J$272*assessment!$F$3)</f>
        <v>0</v>
      </c>
      <c r="P206" s="6">
        <f>+N206/payroll!F206</f>
        <v>0</v>
      </c>
      <c r="R206" s="16">
        <f>IF(P206&lt;$R$2,N206, +payroll!F206 * $R$2)</f>
        <v>0</v>
      </c>
      <c r="T206" s="5">
        <f t="shared" si="22"/>
        <v>0</v>
      </c>
      <c r="V206" t="e">
        <f t="shared" si="23"/>
        <v>#DIV/0!</v>
      </c>
    </row>
    <row r="207" spans="1:22" outlineLevel="1">
      <c r="A207" t="s">
        <v>339</v>
      </c>
      <c r="B207" t="s">
        <v>340</v>
      </c>
      <c r="C207" s="40">
        <v>702.25</v>
      </c>
      <c r="D207" s="40">
        <v>2455.4699999999998</v>
      </c>
      <c r="E207" s="40">
        <v>5588.4</v>
      </c>
      <c r="F207" s="16"/>
      <c r="G207" s="16">
        <f t="shared" si="24"/>
        <v>2915.373333333333</v>
      </c>
      <c r="H207" s="14">
        <v>1</v>
      </c>
      <c r="J207" s="16">
        <f t="shared" si="21"/>
        <v>2915.373333333333</v>
      </c>
      <c r="L207" s="3">
        <f t="shared" si="25"/>
        <v>7.9033891669503465E-5</v>
      </c>
      <c r="N207" s="16">
        <f>+L207*(assessment!$J$272*assessment!$F$3)</f>
        <v>2445.9200860450978</v>
      </c>
      <c r="P207" s="6">
        <f>+N207/payroll!F207</f>
        <v>1.4018609117276107E-3</v>
      </c>
      <c r="R207" s="16">
        <f>IF(P207&lt;$R$2,N207, +payroll!F207 * $R$2)</f>
        <v>2445.9200860450978</v>
      </c>
      <c r="T207" s="5">
        <f t="shared" si="22"/>
        <v>0</v>
      </c>
      <c r="V207">
        <f t="shared" si="23"/>
        <v>1</v>
      </c>
    </row>
    <row r="208" spans="1:22" outlineLevel="1">
      <c r="A208" t="s">
        <v>341</v>
      </c>
      <c r="B208" t="s">
        <v>342</v>
      </c>
      <c r="C208" s="40">
        <v>0</v>
      </c>
      <c r="D208" s="40">
        <v>0</v>
      </c>
      <c r="E208" s="40">
        <v>0</v>
      </c>
      <c r="F208" s="16"/>
      <c r="G208" s="16">
        <f t="shared" si="24"/>
        <v>0</v>
      </c>
      <c r="H208" s="14">
        <v>1</v>
      </c>
      <c r="J208" s="16">
        <f t="shared" si="21"/>
        <v>0</v>
      </c>
      <c r="L208" s="3">
        <f t="shared" si="25"/>
        <v>0</v>
      </c>
      <c r="N208" s="16">
        <f>+L208*(assessment!$J$272*assessment!$F$3)</f>
        <v>0</v>
      </c>
      <c r="P208" s="6">
        <f>+N208/payroll!F208</f>
        <v>0</v>
      </c>
      <c r="R208" s="16">
        <f>IF(P208&lt;$R$2,N208, +payroll!F208 * $R$2)</f>
        <v>0</v>
      </c>
      <c r="T208" s="5">
        <f t="shared" si="22"/>
        <v>0</v>
      </c>
      <c r="V208" t="e">
        <f t="shared" si="23"/>
        <v>#DIV/0!</v>
      </c>
    </row>
    <row r="209" spans="1:22" outlineLevel="1">
      <c r="A209" t="s">
        <v>343</v>
      </c>
      <c r="B209" t="s">
        <v>344</v>
      </c>
      <c r="C209" s="40">
        <v>0</v>
      </c>
      <c r="D209" s="40">
        <v>0</v>
      </c>
      <c r="E209" s="40">
        <v>2024.28</v>
      </c>
      <c r="F209" s="16"/>
      <c r="G209" s="16">
        <f t="shared" si="24"/>
        <v>674.76</v>
      </c>
      <c r="H209" s="14">
        <v>1</v>
      </c>
      <c r="J209" s="16">
        <f t="shared" si="21"/>
        <v>674.76</v>
      </c>
      <c r="L209" s="3">
        <f t="shared" si="25"/>
        <v>1.8292308615562383E-5</v>
      </c>
      <c r="N209" s="16">
        <f>+L209*(assessment!$J$272*assessment!$F$3)</f>
        <v>566.10555443778162</v>
      </c>
      <c r="P209" s="6">
        <f>+N209/payroll!F209</f>
        <v>1.2320586708499423E-3</v>
      </c>
      <c r="R209" s="16">
        <f>IF(P209&lt;$R$2,N209, +payroll!F209 * $R$2)</f>
        <v>566.10555443778162</v>
      </c>
      <c r="T209" s="5">
        <f t="shared" si="22"/>
        <v>0</v>
      </c>
      <c r="V209">
        <f t="shared" si="23"/>
        <v>1</v>
      </c>
    </row>
    <row r="210" spans="1:22" outlineLevel="1">
      <c r="A210" t="s">
        <v>345</v>
      </c>
      <c r="B210" t="s">
        <v>346</v>
      </c>
      <c r="C210" s="40">
        <v>4357.8599999999997</v>
      </c>
      <c r="D210" s="40">
        <v>15121.48</v>
      </c>
      <c r="E210" s="40">
        <v>30963.93</v>
      </c>
      <c r="F210" s="16"/>
      <c r="G210" s="16">
        <f t="shared" si="24"/>
        <v>16814.423333333336</v>
      </c>
      <c r="H210" s="14">
        <v>1</v>
      </c>
      <c r="J210" s="16">
        <f t="shared" si="21"/>
        <v>16814.423333333336</v>
      </c>
      <c r="L210" s="3">
        <f t="shared" si="25"/>
        <v>4.5582817713860714E-4</v>
      </c>
      <c r="N210" s="16">
        <f>+L210*(assessment!$J$272*assessment!$F$3)</f>
        <v>14106.850500427176</v>
      </c>
      <c r="P210" s="6">
        <f>+N210/payroll!F210</f>
        <v>2.3668870924696563E-3</v>
      </c>
      <c r="R210" s="16">
        <f>IF(P210&lt;$R$2,N210, +payroll!F210 * $R$2)</f>
        <v>14106.850500427176</v>
      </c>
      <c r="T210" s="5">
        <f t="shared" si="22"/>
        <v>0</v>
      </c>
      <c r="V210">
        <f t="shared" si="23"/>
        <v>1</v>
      </c>
    </row>
    <row r="211" spans="1:22" outlineLevel="1">
      <c r="A211" t="s">
        <v>486</v>
      </c>
      <c r="B211" t="s">
        <v>350</v>
      </c>
      <c r="C211" s="40">
        <v>0</v>
      </c>
      <c r="D211" s="40">
        <v>0</v>
      </c>
      <c r="E211" s="40">
        <v>0</v>
      </c>
      <c r="F211" s="16"/>
      <c r="G211" s="16">
        <f t="shared" si="24"/>
        <v>0</v>
      </c>
      <c r="H211" s="14">
        <v>1</v>
      </c>
      <c r="J211" s="16">
        <f>+G211*H211</f>
        <v>0</v>
      </c>
      <c r="L211" s="3">
        <f t="shared" si="25"/>
        <v>0</v>
      </c>
      <c r="N211" s="16">
        <f>+L211*(assessment!$J$272*assessment!$F$3)</f>
        <v>0</v>
      </c>
      <c r="P211" s="6">
        <f>+N211/payroll!F211</f>
        <v>0</v>
      </c>
      <c r="R211" s="16">
        <f>IF(P211&lt;$R$2,N211, +payroll!F211 * $R$2)</f>
        <v>0</v>
      </c>
      <c r="T211" s="5">
        <f>+N211-R211</f>
        <v>0</v>
      </c>
      <c r="V211" t="e">
        <f>+R211/N211</f>
        <v>#DIV/0!</v>
      </c>
    </row>
    <row r="212" spans="1:22" outlineLevel="1">
      <c r="A212" t="s">
        <v>487</v>
      </c>
      <c r="B212" t="s">
        <v>351</v>
      </c>
      <c r="C212" s="40">
        <v>0</v>
      </c>
      <c r="D212" s="40">
        <v>0</v>
      </c>
      <c r="E212" s="40">
        <v>0</v>
      </c>
      <c r="F212" s="16"/>
      <c r="G212" s="16">
        <f t="shared" si="24"/>
        <v>0</v>
      </c>
      <c r="H212" s="14">
        <v>1</v>
      </c>
      <c r="J212" s="16">
        <f>+G212*H212</f>
        <v>0</v>
      </c>
      <c r="L212" s="3">
        <f t="shared" si="25"/>
        <v>0</v>
      </c>
      <c r="N212" s="16">
        <f>+L212*(assessment!$J$272*assessment!$F$3)</f>
        <v>0</v>
      </c>
      <c r="P212" s="6">
        <f>+N212/payroll!F212</f>
        <v>0</v>
      </c>
      <c r="R212" s="16">
        <f>IF(P212&lt;$R$2,N212, +payroll!F212 * $R$2)</f>
        <v>0</v>
      </c>
      <c r="T212" s="5">
        <f>+N212-R212</f>
        <v>0</v>
      </c>
      <c r="V212" t="e">
        <f>+R212/N212</f>
        <v>#DIV/0!</v>
      </c>
    </row>
    <row r="213" spans="1:22" outlineLevel="1">
      <c r="A213" t="s">
        <v>488</v>
      </c>
      <c r="B213" t="s">
        <v>347</v>
      </c>
      <c r="C213" s="40">
        <v>0</v>
      </c>
      <c r="D213" s="40">
        <v>0</v>
      </c>
      <c r="E213" s="40">
        <v>0</v>
      </c>
      <c r="F213" s="16"/>
      <c r="G213" s="16">
        <f t="shared" si="24"/>
        <v>0</v>
      </c>
      <c r="H213" s="14">
        <v>1</v>
      </c>
      <c r="J213" s="16">
        <f t="shared" si="21"/>
        <v>0</v>
      </c>
      <c r="L213" s="3">
        <f t="shared" si="25"/>
        <v>0</v>
      </c>
      <c r="N213" s="16">
        <f>+L213*(assessment!$J$272*assessment!$F$3)</f>
        <v>0</v>
      </c>
      <c r="P213" s="6">
        <f>+N213/payroll!F213</f>
        <v>0</v>
      </c>
      <c r="R213" s="16">
        <f>IF(P213&lt;$R$2,N213, +payroll!F213 * $R$2)</f>
        <v>0</v>
      </c>
      <c r="T213" s="5">
        <f t="shared" si="22"/>
        <v>0</v>
      </c>
      <c r="V213" t="e">
        <f t="shared" si="23"/>
        <v>#DIV/0!</v>
      </c>
    </row>
    <row r="214" spans="1:22" outlineLevel="1">
      <c r="A214" t="s">
        <v>349</v>
      </c>
      <c r="B214" t="s">
        <v>348</v>
      </c>
      <c r="C214" s="40">
        <v>27719.279999999999</v>
      </c>
      <c r="D214" s="40">
        <v>0</v>
      </c>
      <c r="E214" s="40">
        <v>-7306.62</v>
      </c>
      <c r="F214" s="16"/>
      <c r="G214" s="16">
        <f t="shared" si="24"/>
        <v>6804.22</v>
      </c>
      <c r="H214" s="14">
        <v>1</v>
      </c>
      <c r="J214" s="16">
        <f t="shared" si="21"/>
        <v>6804.22</v>
      </c>
      <c r="L214" s="3">
        <f t="shared" si="25"/>
        <v>1.8445801785550698E-4</v>
      </c>
      <c r="N214" s="16">
        <f>+L214*(assessment!$J$272*assessment!$F$3)</f>
        <v>5708.5582067944797</v>
      </c>
      <c r="P214" s="6">
        <f>+N214/payroll!F214</f>
        <v>1.9781938335373425E-3</v>
      </c>
      <c r="R214" s="16">
        <f>IF(P214&lt;$R$2,N214, +payroll!F214 * $R$2)</f>
        <v>5708.5582067944797</v>
      </c>
      <c r="T214" s="5">
        <f t="shared" si="22"/>
        <v>0</v>
      </c>
      <c r="V214">
        <f t="shared" si="23"/>
        <v>1</v>
      </c>
    </row>
    <row r="215" spans="1:22" outlineLevel="1">
      <c r="A215" t="s">
        <v>352</v>
      </c>
      <c r="B215" t="s">
        <v>353</v>
      </c>
      <c r="C215" s="40">
        <v>1866.11</v>
      </c>
      <c r="D215" s="40">
        <v>1903.7</v>
      </c>
      <c r="E215" s="40">
        <v>3577.25</v>
      </c>
      <c r="F215" s="16"/>
      <c r="G215" s="16">
        <f t="shared" si="24"/>
        <v>2449.02</v>
      </c>
      <c r="H215" s="14">
        <v>1</v>
      </c>
      <c r="J215" s="16">
        <f t="shared" si="21"/>
        <v>2449.02</v>
      </c>
      <c r="L215" s="3">
        <f t="shared" si="25"/>
        <v>6.639135343779209E-5</v>
      </c>
      <c r="N215" s="16">
        <f>+L215*(assessment!$J$272*assessment!$F$3)</f>
        <v>2054.662139026048</v>
      </c>
      <c r="P215" s="6">
        <f>+N215/payroll!F215</f>
        <v>1.2789378265366327E-3</v>
      </c>
      <c r="R215" s="16">
        <f>IF(P215&lt;$R$2,N215, +payroll!F215 * $R$2)</f>
        <v>2054.662139026048</v>
      </c>
      <c r="T215" s="5">
        <f t="shared" si="22"/>
        <v>0</v>
      </c>
      <c r="V215">
        <f t="shared" si="23"/>
        <v>1</v>
      </c>
    </row>
    <row r="216" spans="1:22" outlineLevel="1">
      <c r="A216" t="s">
        <v>354</v>
      </c>
      <c r="B216" t="s">
        <v>355</v>
      </c>
      <c r="C216" s="40">
        <v>0</v>
      </c>
      <c r="D216" s="40">
        <v>0</v>
      </c>
      <c r="E216" s="40">
        <v>0</v>
      </c>
      <c r="F216" s="16"/>
      <c r="G216" s="16">
        <f t="shared" si="24"/>
        <v>0</v>
      </c>
      <c r="H216" s="14">
        <v>1</v>
      </c>
      <c r="J216" s="16">
        <f t="shared" si="21"/>
        <v>0</v>
      </c>
      <c r="L216" s="3">
        <f t="shared" si="25"/>
        <v>0</v>
      </c>
      <c r="N216" s="16">
        <f>+L216*(assessment!$J$272*assessment!$F$3)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22"/>
        <v>0</v>
      </c>
      <c r="V216" t="e">
        <f t="shared" si="23"/>
        <v>#DIV/0!</v>
      </c>
    </row>
    <row r="217" spans="1:22" outlineLevel="1">
      <c r="A217" t="s">
        <v>356</v>
      </c>
      <c r="B217" t="s">
        <v>357</v>
      </c>
      <c r="C217" s="40">
        <v>208.59</v>
      </c>
      <c r="D217" s="40">
        <v>0</v>
      </c>
      <c r="E217" s="40">
        <v>0</v>
      </c>
      <c r="F217" s="16"/>
      <c r="G217" s="16">
        <f t="shared" si="24"/>
        <v>69.53</v>
      </c>
      <c r="H217" s="14">
        <v>1</v>
      </c>
      <c r="J217" s="16">
        <f t="shared" si="21"/>
        <v>69.53</v>
      </c>
      <c r="L217" s="3">
        <f t="shared" si="25"/>
        <v>1.8849134774439099E-6</v>
      </c>
      <c r="N217" s="16">
        <f>+L217*(assessment!$J$272*assessment!$F$3)</f>
        <v>58.333806390507682</v>
      </c>
      <c r="P217" s="6">
        <f>+N217/payroll!F217</f>
        <v>1.5242705593089965E-4</v>
      </c>
      <c r="R217" s="16">
        <f>IF(P217&lt;$R$2,N217, +payroll!F217 * $R$2)</f>
        <v>58.333806390507682</v>
      </c>
      <c r="T217" s="5">
        <f t="shared" si="22"/>
        <v>0</v>
      </c>
      <c r="V217">
        <f t="shared" si="23"/>
        <v>1</v>
      </c>
    </row>
    <row r="218" spans="1:22" outlineLevel="1">
      <c r="A218" t="s">
        <v>358</v>
      </c>
      <c r="B218" t="s">
        <v>359</v>
      </c>
      <c r="C218" s="40">
        <v>11558.72</v>
      </c>
      <c r="D218" s="40">
        <v>24318.3</v>
      </c>
      <c r="E218" s="40">
        <v>6257.03</v>
      </c>
      <c r="F218" s="16"/>
      <c r="G218" s="16">
        <f t="shared" si="24"/>
        <v>14044.683333333332</v>
      </c>
      <c r="H218" s="14">
        <v>1</v>
      </c>
      <c r="J218" s="16">
        <f t="shared" si="21"/>
        <v>14044.683333333332</v>
      </c>
      <c r="L218" s="3">
        <f t="shared" si="25"/>
        <v>3.8074231125315481E-4</v>
      </c>
      <c r="N218" s="16">
        <f>+L218*(assessment!$J$272*assessment!$F$3)</f>
        <v>11783.112877644997</v>
      </c>
      <c r="P218" s="6">
        <f>+N218/payroll!F218</f>
        <v>3.9658040205401935E-3</v>
      </c>
      <c r="R218" s="16">
        <f>IF(P218&lt;$R$2,N218, +payroll!F218 * $R$2)</f>
        <v>11783.112877644997</v>
      </c>
      <c r="T218" s="5">
        <f t="shared" si="22"/>
        <v>0</v>
      </c>
      <c r="V218">
        <f t="shared" si="23"/>
        <v>1</v>
      </c>
    </row>
    <row r="219" spans="1:22" outlineLevel="1">
      <c r="A219" t="s">
        <v>360</v>
      </c>
      <c r="B219" t="s">
        <v>361</v>
      </c>
      <c r="C219" s="40">
        <v>0</v>
      </c>
      <c r="D219" s="40">
        <v>0</v>
      </c>
      <c r="E219" s="40">
        <v>0</v>
      </c>
      <c r="F219" s="16"/>
      <c r="G219" s="16">
        <f t="shared" si="24"/>
        <v>0</v>
      </c>
      <c r="H219" s="14">
        <v>1</v>
      </c>
      <c r="J219" s="16">
        <f t="shared" si="21"/>
        <v>0</v>
      </c>
      <c r="L219" s="3">
        <f t="shared" si="25"/>
        <v>0</v>
      </c>
      <c r="N219" s="16">
        <f>+L219*(assessment!$J$272*assessment!$F$3)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22"/>
        <v>0</v>
      </c>
      <c r="V219" t="e">
        <f t="shared" si="23"/>
        <v>#DIV/0!</v>
      </c>
    </row>
    <row r="220" spans="1:22" outlineLevel="1">
      <c r="A220" t="s">
        <v>362</v>
      </c>
      <c r="B220" t="s">
        <v>363</v>
      </c>
      <c r="C220" s="40">
        <v>0</v>
      </c>
      <c r="D220" s="40">
        <v>0</v>
      </c>
      <c r="E220" s="40">
        <v>0</v>
      </c>
      <c r="F220" s="16"/>
      <c r="G220" s="16">
        <f t="shared" si="24"/>
        <v>0</v>
      </c>
      <c r="H220" s="14">
        <v>1</v>
      </c>
      <c r="J220" s="16">
        <f t="shared" si="21"/>
        <v>0</v>
      </c>
      <c r="L220" s="3">
        <f t="shared" si="25"/>
        <v>0</v>
      </c>
      <c r="N220" s="16">
        <f>+L220*(assessment!$J$272*assessment!$F$3)</f>
        <v>0</v>
      </c>
      <c r="P220" s="6">
        <f>+N220/payroll!F220</f>
        <v>0</v>
      </c>
      <c r="R220" s="16">
        <f>IF(P220&lt;$R$2,N220, +payroll!F220 * $R$2)</f>
        <v>0</v>
      </c>
      <c r="T220" s="5">
        <f t="shared" si="22"/>
        <v>0</v>
      </c>
      <c r="V220" t="e">
        <f t="shared" si="23"/>
        <v>#DIV/0!</v>
      </c>
    </row>
    <row r="221" spans="1:22" outlineLevel="1">
      <c r="A221" t="s">
        <v>364</v>
      </c>
      <c r="B221" t="s">
        <v>365</v>
      </c>
      <c r="C221" s="40">
        <v>0</v>
      </c>
      <c r="D221" s="40">
        <v>0</v>
      </c>
      <c r="E221" s="40">
        <v>0</v>
      </c>
      <c r="F221" s="16"/>
      <c r="G221" s="16">
        <f t="shared" si="24"/>
        <v>0</v>
      </c>
      <c r="H221" s="14">
        <v>1</v>
      </c>
      <c r="J221" s="16">
        <f t="shared" si="21"/>
        <v>0</v>
      </c>
      <c r="L221" s="3">
        <f t="shared" si="25"/>
        <v>0</v>
      </c>
      <c r="N221" s="16">
        <f>+L221*(assessment!$J$272*assessment!$F$3)</f>
        <v>0</v>
      </c>
      <c r="P221" s="6">
        <f>+N221/payroll!F221</f>
        <v>0</v>
      </c>
      <c r="R221" s="16">
        <f>IF(P221&lt;$R$2,N221, +payroll!F221 * $R$2)</f>
        <v>0</v>
      </c>
      <c r="T221" s="5">
        <f t="shared" si="22"/>
        <v>0</v>
      </c>
      <c r="V221" t="e">
        <f t="shared" si="23"/>
        <v>#DIV/0!</v>
      </c>
    </row>
    <row r="222" spans="1:22" outlineLevel="1">
      <c r="A222" t="s">
        <v>366</v>
      </c>
      <c r="B222" t="s">
        <v>367</v>
      </c>
      <c r="C222" s="40">
        <v>0</v>
      </c>
      <c r="D222" s="40">
        <v>0</v>
      </c>
      <c r="E222" s="40">
        <v>0</v>
      </c>
      <c r="F222" s="16"/>
      <c r="G222" s="16">
        <f t="shared" si="24"/>
        <v>0</v>
      </c>
      <c r="H222" s="14">
        <v>1</v>
      </c>
      <c r="J222" s="16">
        <f t="shared" si="21"/>
        <v>0</v>
      </c>
      <c r="L222" s="3">
        <f t="shared" si="25"/>
        <v>0</v>
      </c>
      <c r="N222" s="16">
        <f>+L222*(assessment!$J$272*assessment!$F$3)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22"/>
        <v>0</v>
      </c>
      <c r="V222" t="e">
        <f t="shared" si="23"/>
        <v>#DIV/0!</v>
      </c>
    </row>
    <row r="223" spans="1:22" outlineLevel="1">
      <c r="A223" t="s">
        <v>368</v>
      </c>
      <c r="B223" t="s">
        <v>369</v>
      </c>
      <c r="C223" s="40">
        <v>0</v>
      </c>
      <c r="D223" s="40">
        <v>0</v>
      </c>
      <c r="E223" s="40">
        <v>0</v>
      </c>
      <c r="F223" s="16"/>
      <c r="G223" s="16">
        <f t="shared" si="24"/>
        <v>0</v>
      </c>
      <c r="H223" s="14">
        <v>1</v>
      </c>
      <c r="J223" s="16">
        <f t="shared" si="21"/>
        <v>0</v>
      </c>
      <c r="L223" s="3">
        <f t="shared" si="25"/>
        <v>0</v>
      </c>
      <c r="N223" s="16">
        <f>+L223*(assessment!$J$272*assessment!$F$3)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22"/>
        <v>0</v>
      </c>
      <c r="V223" t="e">
        <f t="shared" si="23"/>
        <v>#DIV/0!</v>
      </c>
    </row>
    <row r="224" spans="1:22" outlineLevel="1">
      <c r="A224" t="s">
        <v>370</v>
      </c>
      <c r="B224" t="s">
        <v>371</v>
      </c>
      <c r="C224" s="40">
        <v>13202.1</v>
      </c>
      <c r="D224" s="40">
        <v>37937.5</v>
      </c>
      <c r="E224" s="40">
        <v>186.5</v>
      </c>
      <c r="F224" s="16"/>
      <c r="G224" s="16">
        <f t="shared" si="24"/>
        <v>17108.7</v>
      </c>
      <c r="H224" s="14">
        <v>1</v>
      </c>
      <c r="J224" s="16">
        <f t="shared" si="21"/>
        <v>17108.7</v>
      </c>
      <c r="L224" s="3">
        <f t="shared" si="25"/>
        <v>4.6380582786631122E-4</v>
      </c>
      <c r="N224" s="16">
        <f>+L224*(assessment!$J$272*assessment!$F$3)</f>
        <v>14353.740736276121</v>
      </c>
      <c r="P224" s="6">
        <f>+N224/payroll!F224</f>
        <v>2.3388779425871E-3</v>
      </c>
      <c r="R224" s="16">
        <f>IF(P224&lt;$R$2,N224, +payroll!F224 * $R$2)</f>
        <v>14353.740736276121</v>
      </c>
      <c r="T224" s="5">
        <f t="shared" si="22"/>
        <v>0</v>
      </c>
      <c r="V224">
        <f t="shared" si="23"/>
        <v>1</v>
      </c>
    </row>
    <row r="225" spans="1:22" outlineLevel="1">
      <c r="A225" t="s">
        <v>372</v>
      </c>
      <c r="B225" t="s">
        <v>373</v>
      </c>
      <c r="C225" s="40">
        <v>0</v>
      </c>
      <c r="D225" s="40">
        <v>377.88</v>
      </c>
      <c r="E225" s="40">
        <v>-377.88</v>
      </c>
      <c r="F225" s="16"/>
      <c r="G225" s="16">
        <f t="shared" si="24"/>
        <v>0</v>
      </c>
      <c r="H225" s="14">
        <v>1</v>
      </c>
      <c r="J225" s="16">
        <f t="shared" si="21"/>
        <v>0</v>
      </c>
      <c r="L225" s="3">
        <f t="shared" si="25"/>
        <v>0</v>
      </c>
      <c r="N225" s="16">
        <f>+L225*(assessment!$J$272*assessment!$F$3)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22"/>
        <v>0</v>
      </c>
      <c r="V225" t="e">
        <f t="shared" si="23"/>
        <v>#DIV/0!</v>
      </c>
    </row>
    <row r="226" spans="1:22" outlineLevel="1">
      <c r="A226" t="s">
        <v>374</v>
      </c>
      <c r="B226" t="s">
        <v>375</v>
      </c>
      <c r="C226" s="40">
        <v>0</v>
      </c>
      <c r="D226" s="40">
        <v>0</v>
      </c>
      <c r="E226" s="40">
        <v>0</v>
      </c>
      <c r="F226" s="16"/>
      <c r="G226" s="16">
        <f t="shared" si="24"/>
        <v>0</v>
      </c>
      <c r="H226" s="14">
        <v>1</v>
      </c>
      <c r="J226" s="16">
        <f t="shared" si="21"/>
        <v>0</v>
      </c>
      <c r="L226" s="3">
        <f t="shared" si="25"/>
        <v>0</v>
      </c>
      <c r="N226" s="16">
        <f>+L226*(assessment!$J$272*assessment!$F$3)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2"/>
        <v>0</v>
      </c>
      <c r="V226" t="e">
        <f t="shared" si="23"/>
        <v>#DIV/0!</v>
      </c>
    </row>
    <row r="227" spans="1:22" outlineLevel="1">
      <c r="A227" t="s">
        <v>376</v>
      </c>
      <c r="B227" t="s">
        <v>377</v>
      </c>
      <c r="C227" s="40">
        <v>0</v>
      </c>
      <c r="D227" s="40">
        <v>0</v>
      </c>
      <c r="E227" s="40">
        <v>0</v>
      </c>
      <c r="F227" s="16"/>
      <c r="G227" s="16">
        <f t="shared" si="24"/>
        <v>0</v>
      </c>
      <c r="H227" s="14">
        <v>1</v>
      </c>
      <c r="J227" s="16">
        <f t="shared" si="21"/>
        <v>0</v>
      </c>
      <c r="L227" s="3">
        <f t="shared" ref="L227:L261" si="26">+J227/$J$264</f>
        <v>0</v>
      </c>
      <c r="N227" s="16">
        <f>+L227*(assessment!$J$272*assessment!$F$3)</f>
        <v>0</v>
      </c>
      <c r="P227" s="6">
        <f>+N227/payroll!F227</f>
        <v>0</v>
      </c>
      <c r="R227" s="16">
        <f>IF(P227&lt;$R$2,N227, +payroll!F227 * $R$2)</f>
        <v>0</v>
      </c>
      <c r="T227" s="5">
        <f t="shared" si="22"/>
        <v>0</v>
      </c>
      <c r="V227" t="e">
        <f t="shared" si="23"/>
        <v>#DIV/0!</v>
      </c>
    </row>
    <row r="228" spans="1:22" outlineLevel="1">
      <c r="A228" t="s">
        <v>378</v>
      </c>
      <c r="B228" t="s">
        <v>379</v>
      </c>
      <c r="C228" s="40">
        <v>0</v>
      </c>
      <c r="D228" s="40">
        <v>0</v>
      </c>
      <c r="E228" s="40">
        <v>0</v>
      </c>
      <c r="F228" s="16"/>
      <c r="G228" s="16">
        <f t="shared" si="24"/>
        <v>0</v>
      </c>
      <c r="H228" s="14">
        <v>1</v>
      </c>
      <c r="J228" s="16">
        <f t="shared" ref="J228:J261" si="27">+G228*H228</f>
        <v>0</v>
      </c>
      <c r="L228" s="3">
        <f t="shared" si="26"/>
        <v>0</v>
      </c>
      <c r="N228" s="16">
        <f>+L228*(assessment!$J$272*assessment!$F$3)</f>
        <v>0</v>
      </c>
      <c r="P228" s="6">
        <f>+N228/payroll!F228</f>
        <v>0</v>
      </c>
      <c r="R228" s="16">
        <f>IF(P228&lt;$R$2,N228, +payroll!F228 * $R$2)</f>
        <v>0</v>
      </c>
      <c r="T228" s="5">
        <f t="shared" ref="T228:T261" si="28">+N228-R228</f>
        <v>0</v>
      </c>
      <c r="V228" t="e">
        <f t="shared" ref="V228:V261" si="29">+R228/N228</f>
        <v>#DIV/0!</v>
      </c>
    </row>
    <row r="229" spans="1:22" outlineLevel="1">
      <c r="A229" t="s">
        <v>511</v>
      </c>
      <c r="B229" t="s">
        <v>512</v>
      </c>
      <c r="C229" s="40">
        <v>0</v>
      </c>
      <c r="D229" s="40">
        <v>0</v>
      </c>
      <c r="E229" s="40">
        <v>0</v>
      </c>
      <c r="F229" s="16"/>
      <c r="G229" s="16">
        <f t="shared" si="24"/>
        <v>0</v>
      </c>
      <c r="H229" s="14">
        <v>1</v>
      </c>
      <c r="J229" s="16">
        <f>+G229*H229</f>
        <v>0</v>
      </c>
      <c r="L229" s="3">
        <f>+J229/$J$264</f>
        <v>0</v>
      </c>
      <c r="N229" s="16">
        <f>+L229*(assessment!$J$272*assessment!$F$3)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>+N229-R229</f>
        <v>0</v>
      </c>
      <c r="V229" t="e">
        <f>+R229/N229</f>
        <v>#DIV/0!</v>
      </c>
    </row>
    <row r="230" spans="1:22" outlineLevel="1">
      <c r="A230" t="s">
        <v>380</v>
      </c>
      <c r="B230" t="s">
        <v>381</v>
      </c>
      <c r="C230" s="40">
        <v>512.58000000000004</v>
      </c>
      <c r="D230" s="40">
        <v>-1803.24</v>
      </c>
      <c r="E230" s="40">
        <v>13632.17</v>
      </c>
      <c r="F230" s="16"/>
      <c r="G230" s="16">
        <f t="shared" si="24"/>
        <v>4113.836666666667</v>
      </c>
      <c r="H230" s="14">
        <v>1</v>
      </c>
      <c r="J230" s="16">
        <f t="shared" si="27"/>
        <v>4113.836666666667</v>
      </c>
      <c r="L230" s="3">
        <f t="shared" si="26"/>
        <v>1.1152346004606543E-4</v>
      </c>
      <c r="N230" s="16">
        <f>+L230*(assessment!$J$272*assessment!$F$3)</f>
        <v>3451.3987003524353</v>
      </c>
      <c r="P230" s="6">
        <f>+N230/payroll!F230</f>
        <v>4.1785131256268588E-3</v>
      </c>
      <c r="R230" s="16">
        <f>IF(P230&lt;$R$2,N230, +payroll!F230 * $R$2)</f>
        <v>3451.3987003524353</v>
      </c>
      <c r="T230" s="5">
        <f t="shared" si="28"/>
        <v>0</v>
      </c>
      <c r="V230">
        <f t="shared" si="29"/>
        <v>1</v>
      </c>
    </row>
    <row r="231" spans="1:22" outlineLevel="1">
      <c r="A231" t="s">
        <v>382</v>
      </c>
      <c r="B231" t="s">
        <v>383</v>
      </c>
      <c r="C231" s="40">
        <v>0</v>
      </c>
      <c r="D231" s="40">
        <v>590.77</v>
      </c>
      <c r="E231" s="40">
        <v>0</v>
      </c>
      <c r="F231" s="16"/>
      <c r="G231" s="16">
        <f t="shared" si="24"/>
        <v>196.92333333333332</v>
      </c>
      <c r="H231" s="14">
        <v>1</v>
      </c>
      <c r="J231" s="16">
        <f t="shared" si="27"/>
        <v>196.92333333333332</v>
      </c>
      <c r="L231" s="3">
        <f t="shared" si="26"/>
        <v>5.3384646199220406E-6</v>
      </c>
      <c r="N231" s="16">
        <f>+L231*(assessment!$J$272*assessment!$F$3)</f>
        <v>165.21339853933657</v>
      </c>
      <c r="P231" s="6">
        <f>+N231/payroll!F231</f>
        <v>1.9853256422254137E-4</v>
      </c>
      <c r="R231" s="16">
        <f>IF(P231&lt;$R$2,N231, +payroll!F231 * $R$2)</f>
        <v>165.21339853933657</v>
      </c>
      <c r="T231" s="5">
        <f t="shared" si="28"/>
        <v>0</v>
      </c>
      <c r="V231">
        <f t="shared" si="29"/>
        <v>1</v>
      </c>
    </row>
    <row r="232" spans="1:22" outlineLevel="1">
      <c r="A232" t="s">
        <v>384</v>
      </c>
      <c r="B232" t="s">
        <v>385</v>
      </c>
      <c r="C232" s="40">
        <v>7709.49</v>
      </c>
      <c r="D232" s="40">
        <v>29059.91</v>
      </c>
      <c r="E232" s="40">
        <v>0</v>
      </c>
      <c r="F232" s="16"/>
      <c r="G232" s="16">
        <f t="shared" si="24"/>
        <v>12256.466666666667</v>
      </c>
      <c r="H232" s="14">
        <v>1</v>
      </c>
      <c r="J232" s="16">
        <f t="shared" si="27"/>
        <v>12256.466666666667</v>
      </c>
      <c r="L232" s="3">
        <f t="shared" si="26"/>
        <v>3.3226491019476534E-4</v>
      </c>
      <c r="N232" s="16">
        <f>+L232*(assessment!$J$272*assessment!$F$3)</f>
        <v>10282.847023803313</v>
      </c>
      <c r="P232" s="6">
        <f>+N232/payroll!F232</f>
        <v>3.1809751836443861E-3</v>
      </c>
      <c r="R232" s="16">
        <f>IF(P232&lt;$R$2,N232, +payroll!F232 * $R$2)</f>
        <v>10282.847023803313</v>
      </c>
      <c r="T232" s="5">
        <f t="shared" si="28"/>
        <v>0</v>
      </c>
      <c r="V232">
        <f t="shared" si="29"/>
        <v>1</v>
      </c>
    </row>
    <row r="233" spans="1:22" s="50" customFormat="1" outlineLevel="1">
      <c r="A233" s="52" t="s">
        <v>564</v>
      </c>
      <c r="B233" s="52" t="s">
        <v>565</v>
      </c>
      <c r="C233" s="40">
        <v>0</v>
      </c>
      <c r="D233" s="40">
        <v>0</v>
      </c>
      <c r="E233" s="40">
        <v>0</v>
      </c>
      <c r="F233" s="16"/>
      <c r="G233" s="16">
        <f t="shared" si="24"/>
        <v>0</v>
      </c>
      <c r="H233" s="14">
        <v>1</v>
      </c>
      <c r="J233" s="16">
        <f t="shared" si="27"/>
        <v>0</v>
      </c>
      <c r="L233" s="3">
        <f t="shared" si="26"/>
        <v>0</v>
      </c>
      <c r="N233" s="16">
        <f>+L233*(assessment!$J$272*assessment!$F$3)</f>
        <v>0</v>
      </c>
      <c r="P233" s="6">
        <f>+N233/payroll!F233</f>
        <v>0</v>
      </c>
      <c r="R233" s="16">
        <f>IF(P233&lt;$R$2,N233, +payroll!F233 * $R$2)</f>
        <v>0</v>
      </c>
      <c r="T233" s="5">
        <f t="shared" si="28"/>
        <v>0</v>
      </c>
      <c r="V233" s="50" t="e">
        <f t="shared" si="29"/>
        <v>#DIV/0!</v>
      </c>
    </row>
    <row r="234" spans="1:22" outlineLevel="1">
      <c r="A234" t="s">
        <v>386</v>
      </c>
      <c r="B234" t="s">
        <v>387</v>
      </c>
      <c r="C234" s="40">
        <v>0</v>
      </c>
      <c r="D234" s="40">
        <v>0</v>
      </c>
      <c r="E234" s="40">
        <v>0</v>
      </c>
      <c r="F234" s="16"/>
      <c r="G234" s="16">
        <f t="shared" si="24"/>
        <v>0</v>
      </c>
      <c r="H234" s="14">
        <v>1</v>
      </c>
      <c r="J234" s="16">
        <f t="shared" si="27"/>
        <v>0</v>
      </c>
      <c r="L234" s="3">
        <f t="shared" si="26"/>
        <v>0</v>
      </c>
      <c r="N234" s="16">
        <f>+L234*(assessment!$J$272*assessment!$F$3)</f>
        <v>0</v>
      </c>
      <c r="P234" s="6">
        <f>+N234/payroll!F234</f>
        <v>0</v>
      </c>
      <c r="R234" s="16">
        <f>IF(P234&lt;$R$2,N234, +payroll!F234 * $R$2)</f>
        <v>0</v>
      </c>
      <c r="T234" s="5">
        <f t="shared" si="28"/>
        <v>0</v>
      </c>
      <c r="V234" t="e">
        <f t="shared" si="29"/>
        <v>#DIV/0!</v>
      </c>
    </row>
    <row r="235" spans="1:22" outlineLevel="1">
      <c r="A235" t="s">
        <v>388</v>
      </c>
      <c r="B235" t="s">
        <v>389</v>
      </c>
      <c r="C235" s="40">
        <v>0</v>
      </c>
      <c r="D235" s="40">
        <v>0</v>
      </c>
      <c r="E235" s="40">
        <v>0</v>
      </c>
      <c r="F235" s="16"/>
      <c r="G235" s="16">
        <f t="shared" si="24"/>
        <v>0</v>
      </c>
      <c r="H235" s="14">
        <v>1</v>
      </c>
      <c r="J235" s="16">
        <f t="shared" si="27"/>
        <v>0</v>
      </c>
      <c r="L235" s="3">
        <f t="shared" si="26"/>
        <v>0</v>
      </c>
      <c r="N235" s="16">
        <f>+L235*(assessment!$J$272*assessment!$F$3)</f>
        <v>0</v>
      </c>
      <c r="P235" s="6">
        <f>+N235/payroll!F235</f>
        <v>0</v>
      </c>
      <c r="R235" s="16">
        <f>IF(P235&lt;$R$2,N235, +payroll!F235 * $R$2)</f>
        <v>0</v>
      </c>
      <c r="T235" s="5">
        <f t="shared" si="28"/>
        <v>0</v>
      </c>
      <c r="V235" t="e">
        <f t="shared" si="29"/>
        <v>#DIV/0!</v>
      </c>
    </row>
    <row r="236" spans="1:22" outlineLevel="1">
      <c r="A236" t="s">
        <v>390</v>
      </c>
      <c r="B236" t="s">
        <v>391</v>
      </c>
      <c r="C236" s="40">
        <v>83.75</v>
      </c>
      <c r="D236" s="40">
        <v>0</v>
      </c>
      <c r="E236" s="40">
        <v>0</v>
      </c>
      <c r="F236" s="16"/>
      <c r="G236" s="16">
        <f t="shared" si="24"/>
        <v>27.916666666666668</v>
      </c>
      <c r="H236" s="14">
        <v>1</v>
      </c>
      <c r="J236" s="16">
        <f t="shared" si="27"/>
        <v>27.916666666666668</v>
      </c>
      <c r="L236" s="3">
        <f t="shared" si="26"/>
        <v>7.5680283683746806E-7</v>
      </c>
      <c r="N236" s="16">
        <f>+L236*(assessment!$J$272*assessment!$F$3)</f>
        <v>23.421335084160404</v>
      </c>
      <c r="P236" s="6">
        <f>+N236/payroll!F236</f>
        <v>7.1479031713544928E-5</v>
      </c>
      <c r="R236" s="16">
        <f>IF(P236&lt;$R$2,N236, +payroll!F236 * $R$2)</f>
        <v>23.421335084160404</v>
      </c>
      <c r="T236" s="5">
        <f t="shared" si="28"/>
        <v>0</v>
      </c>
      <c r="V236">
        <f t="shared" si="29"/>
        <v>1</v>
      </c>
    </row>
    <row r="237" spans="1:22" outlineLevel="1">
      <c r="A237" t="s">
        <v>392</v>
      </c>
      <c r="B237" t="s">
        <v>393</v>
      </c>
      <c r="C237" s="40">
        <v>2352.9499999999998</v>
      </c>
      <c r="D237" s="40">
        <v>6984.13</v>
      </c>
      <c r="E237" s="40">
        <v>7807.33</v>
      </c>
      <c r="F237" s="16"/>
      <c r="G237" s="16">
        <f t="shared" si="24"/>
        <v>5714.8033333333333</v>
      </c>
      <c r="H237" s="14">
        <v>1</v>
      </c>
      <c r="J237" s="16">
        <f t="shared" si="27"/>
        <v>5714.8033333333333</v>
      </c>
      <c r="L237" s="3">
        <f t="shared" si="26"/>
        <v>1.5492463431527944E-4</v>
      </c>
      <c r="N237" s="16">
        <f>+L237*(assessment!$J$272*assessment!$F$3)</f>
        <v>4794.5668230475267</v>
      </c>
      <c r="P237" s="6">
        <f>+N237/payroll!F237</f>
        <v>2.2403052669615598E-3</v>
      </c>
      <c r="R237" s="16">
        <f>IF(P237&lt;$R$2,N237, +payroll!F237 * $R$2)</f>
        <v>4794.5668230475267</v>
      </c>
      <c r="T237" s="5">
        <f t="shared" si="28"/>
        <v>0</v>
      </c>
      <c r="V237">
        <f t="shared" si="29"/>
        <v>1</v>
      </c>
    </row>
    <row r="238" spans="1:22" outlineLevel="1">
      <c r="A238" t="s">
        <v>394</v>
      </c>
      <c r="B238" t="s">
        <v>395</v>
      </c>
      <c r="C238" s="40">
        <v>0</v>
      </c>
      <c r="D238" s="40">
        <v>0</v>
      </c>
      <c r="E238" s="40">
        <v>0</v>
      </c>
      <c r="F238" s="16"/>
      <c r="G238" s="16">
        <f t="shared" si="24"/>
        <v>0</v>
      </c>
      <c r="H238" s="14">
        <v>1</v>
      </c>
      <c r="J238" s="16">
        <f t="shared" si="27"/>
        <v>0</v>
      </c>
      <c r="L238" s="3">
        <f t="shared" si="26"/>
        <v>0</v>
      </c>
      <c r="N238" s="16">
        <f>+L238*(assessment!$J$272*assessment!$F$3)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 t="shared" si="28"/>
        <v>0</v>
      </c>
      <c r="V238" t="e">
        <f t="shared" si="29"/>
        <v>#DIV/0!</v>
      </c>
    </row>
    <row r="239" spans="1:22" outlineLevel="1">
      <c r="A239" t="s">
        <v>396</v>
      </c>
      <c r="B239" t="s">
        <v>397</v>
      </c>
      <c r="C239" s="40">
        <v>3230.13</v>
      </c>
      <c r="D239" s="40">
        <v>575.80999999999995</v>
      </c>
      <c r="E239" s="40">
        <v>1764.43</v>
      </c>
      <c r="F239" s="16"/>
      <c r="G239" s="16">
        <f t="shared" si="24"/>
        <v>1856.79</v>
      </c>
      <c r="H239" s="14">
        <v>1</v>
      </c>
      <c r="J239" s="16">
        <f t="shared" si="27"/>
        <v>1856.79</v>
      </c>
      <c r="L239" s="3">
        <f t="shared" si="26"/>
        <v>5.0336379919215839E-5</v>
      </c>
      <c r="N239" s="16">
        <f>+L239*(assessment!$J$272*assessment!$F$3)</f>
        <v>1557.797042540353</v>
      </c>
      <c r="P239" s="6">
        <f>+N239/payroll!F239</f>
        <v>6.448169046916483E-4</v>
      </c>
      <c r="R239" s="16">
        <f>IF(P239&lt;$R$2,N239, +payroll!F239 * $R$2)</f>
        <v>1557.797042540353</v>
      </c>
      <c r="T239" s="5">
        <f t="shared" si="28"/>
        <v>0</v>
      </c>
      <c r="V239">
        <f t="shared" si="29"/>
        <v>1</v>
      </c>
    </row>
    <row r="240" spans="1:22" outlineLevel="1">
      <c r="A240" t="s">
        <v>398</v>
      </c>
      <c r="B240" t="s">
        <v>399</v>
      </c>
      <c r="C240" s="40">
        <v>0</v>
      </c>
      <c r="D240" s="40">
        <v>0</v>
      </c>
      <c r="E240" s="40">
        <v>0</v>
      </c>
      <c r="F240" s="16"/>
      <c r="G240" s="16">
        <f t="shared" si="24"/>
        <v>0</v>
      </c>
      <c r="H240" s="14">
        <v>1</v>
      </c>
      <c r="J240" s="16">
        <f t="shared" si="27"/>
        <v>0</v>
      </c>
      <c r="L240" s="3">
        <f t="shared" si="26"/>
        <v>0</v>
      </c>
      <c r="N240" s="16">
        <f>+L240*(assessment!$J$272*assessment!$F$3)</f>
        <v>0</v>
      </c>
      <c r="P240" s="6">
        <f>+N240/payroll!F240</f>
        <v>0</v>
      </c>
      <c r="R240" s="16">
        <f>IF(P240&lt;$R$2,N240, +payroll!F240 * $R$2)</f>
        <v>0</v>
      </c>
      <c r="T240" s="5">
        <f t="shared" si="28"/>
        <v>0</v>
      </c>
      <c r="V240" t="e">
        <f t="shared" si="29"/>
        <v>#DIV/0!</v>
      </c>
    </row>
    <row r="241" spans="1:22" outlineLevel="1">
      <c r="A241" t="s">
        <v>400</v>
      </c>
      <c r="B241" t="s">
        <v>401</v>
      </c>
      <c r="C241" s="40">
        <v>15942.02</v>
      </c>
      <c r="D241" s="40">
        <v>29352.53</v>
      </c>
      <c r="E241" s="40">
        <v>31382.67</v>
      </c>
      <c r="F241" s="16"/>
      <c r="G241" s="16">
        <f t="shared" si="24"/>
        <v>25559.073333333334</v>
      </c>
      <c r="H241" s="14">
        <v>1</v>
      </c>
      <c r="J241" s="16">
        <f t="shared" si="27"/>
        <v>25559.073333333334</v>
      </c>
      <c r="L241" s="3">
        <f t="shared" si="26"/>
        <v>6.9289000139475393E-4</v>
      </c>
      <c r="N241" s="16">
        <f>+L241*(assessment!$J$272*assessment!$F$3)</f>
        <v>21443.377467962815</v>
      </c>
      <c r="P241" s="6">
        <f>+N241/payroll!F241</f>
        <v>1.3627227777927697E-3</v>
      </c>
      <c r="R241" s="16">
        <f>IF(P241&lt;$R$2,N241, +payroll!F241 * $R$2)</f>
        <v>21443.377467962815</v>
      </c>
      <c r="T241" s="5">
        <f t="shared" si="28"/>
        <v>0</v>
      </c>
      <c r="V241">
        <f t="shared" si="29"/>
        <v>1</v>
      </c>
    </row>
    <row r="242" spans="1:22" outlineLevel="1">
      <c r="A242" t="s">
        <v>402</v>
      </c>
      <c r="B242" t="s">
        <v>403</v>
      </c>
      <c r="C242" s="40">
        <v>3854.08</v>
      </c>
      <c r="D242" s="40">
        <v>4932.84</v>
      </c>
      <c r="E242" s="40">
        <v>14778.98</v>
      </c>
      <c r="F242" s="16"/>
      <c r="G242" s="16">
        <f t="shared" si="24"/>
        <v>7855.3</v>
      </c>
      <c r="H242" s="14">
        <v>1</v>
      </c>
      <c r="J242" s="16">
        <f t="shared" si="27"/>
        <v>7855.3</v>
      </c>
      <c r="L242" s="3">
        <f t="shared" si="26"/>
        <v>2.1295211907615627E-4</v>
      </c>
      <c r="N242" s="16">
        <f>+L242*(assessment!$J$272*assessment!$F$3)</f>
        <v>6590.3861547440674</v>
      </c>
      <c r="P242" s="6">
        <f>+N242/payroll!F242</f>
        <v>1.7252358351510142E-3</v>
      </c>
      <c r="R242" s="16">
        <f>IF(P242&lt;$R$2,N242, +payroll!F242 * $R$2)</f>
        <v>6590.3861547440674</v>
      </c>
      <c r="T242" s="5">
        <f t="shared" si="28"/>
        <v>0</v>
      </c>
      <c r="V242">
        <f t="shared" si="29"/>
        <v>1</v>
      </c>
    </row>
    <row r="243" spans="1:22" outlineLevel="1">
      <c r="A243" t="s">
        <v>404</v>
      </c>
      <c r="B243" t="s">
        <v>405</v>
      </c>
      <c r="C243" s="40">
        <v>0</v>
      </c>
      <c r="D243" s="40">
        <v>0</v>
      </c>
      <c r="E243" s="40">
        <v>199.58</v>
      </c>
      <c r="F243" s="16"/>
      <c r="G243" s="16">
        <f t="shared" si="24"/>
        <v>66.526666666666671</v>
      </c>
      <c r="H243" s="14">
        <v>1</v>
      </c>
      <c r="J243" s="16">
        <f t="shared" si="27"/>
        <v>66.526666666666671</v>
      </c>
      <c r="L243" s="3">
        <f t="shared" si="26"/>
        <v>1.803495046877873E-6</v>
      </c>
      <c r="N243" s="16">
        <f>+L243*(assessment!$J$272*assessment!$F$3)</f>
        <v>55.814090222050545</v>
      </c>
      <c r="P243" s="6">
        <f>+N243/payroll!F243</f>
        <v>5.9694348156686601E-5</v>
      </c>
      <c r="R243" s="16">
        <f>IF(P243&lt;$R$2,N243, +payroll!F243 * $R$2)</f>
        <v>55.814090222050545</v>
      </c>
      <c r="T243" s="5">
        <f t="shared" si="28"/>
        <v>0</v>
      </c>
      <c r="V243">
        <f t="shared" si="29"/>
        <v>1</v>
      </c>
    </row>
    <row r="244" spans="1:22" outlineLevel="1">
      <c r="A244" t="s">
        <v>406</v>
      </c>
      <c r="B244" t="s">
        <v>407</v>
      </c>
      <c r="C244" s="40">
        <v>1097.75</v>
      </c>
      <c r="D244" s="40">
        <v>16172.4</v>
      </c>
      <c r="E244" s="40">
        <v>3693.22</v>
      </c>
      <c r="F244" s="16"/>
      <c r="G244" s="16">
        <f t="shared" si="24"/>
        <v>6987.7900000000009</v>
      </c>
      <c r="H244" s="14">
        <v>1</v>
      </c>
      <c r="J244" s="16">
        <f t="shared" si="27"/>
        <v>6987.7900000000009</v>
      </c>
      <c r="L244" s="3">
        <f t="shared" si="26"/>
        <v>1.8943448221699668E-4</v>
      </c>
      <c r="N244" s="16">
        <f>+L244*(assessment!$J$272*assessment!$F$3)</f>
        <v>5862.5685165759478</v>
      </c>
      <c r="P244" s="6">
        <f>+N244/payroll!F244</f>
        <v>9.5693792864341709E-4</v>
      </c>
      <c r="R244" s="16">
        <f>IF(P244&lt;$R$2,N244, +payroll!F244 * $R$2)</f>
        <v>5862.5685165759478</v>
      </c>
      <c r="T244" s="5">
        <f t="shared" si="28"/>
        <v>0</v>
      </c>
      <c r="V244">
        <f t="shared" si="29"/>
        <v>1</v>
      </c>
    </row>
    <row r="245" spans="1:22" outlineLevel="1">
      <c r="A245" t="s">
        <v>408</v>
      </c>
      <c r="B245" t="s">
        <v>409</v>
      </c>
      <c r="C245" s="40">
        <v>1942.09</v>
      </c>
      <c r="D245" s="40">
        <v>283.95</v>
      </c>
      <c r="E245" s="40">
        <v>3788.96</v>
      </c>
      <c r="F245" s="16"/>
      <c r="G245" s="16">
        <f t="shared" si="24"/>
        <v>2005</v>
      </c>
      <c r="H245" s="14">
        <v>1</v>
      </c>
      <c r="J245" s="16">
        <f t="shared" si="27"/>
        <v>2005</v>
      </c>
      <c r="L245" s="3">
        <f t="shared" si="26"/>
        <v>5.4354257475550688E-5</v>
      </c>
      <c r="N245" s="16">
        <f>+L245*(assessment!$J$272*assessment!$F$3)</f>
        <v>1682.1412600743263</v>
      </c>
      <c r="P245" s="6">
        <f>+N245/payroll!F245</f>
        <v>1.4620507555663853E-4</v>
      </c>
      <c r="R245" s="16">
        <f>IF(P245&lt;$R$2,N245, +payroll!F245 * $R$2)</f>
        <v>1682.1412600743263</v>
      </c>
      <c r="T245" s="5">
        <f t="shared" si="28"/>
        <v>0</v>
      </c>
      <c r="V245">
        <f t="shared" si="29"/>
        <v>1</v>
      </c>
    </row>
    <row r="246" spans="1:22" outlineLevel="1">
      <c r="A246" t="s">
        <v>410</v>
      </c>
      <c r="B246" t="s">
        <v>411</v>
      </c>
      <c r="C246" s="40">
        <v>0</v>
      </c>
      <c r="D246" s="40">
        <v>0</v>
      </c>
      <c r="E246" s="40">
        <v>0</v>
      </c>
      <c r="F246" s="16"/>
      <c r="G246" s="16">
        <f t="shared" si="24"/>
        <v>0</v>
      </c>
      <c r="H246" s="14">
        <v>1</v>
      </c>
      <c r="J246" s="16">
        <f t="shared" si="27"/>
        <v>0</v>
      </c>
      <c r="L246" s="3">
        <f t="shared" si="26"/>
        <v>0</v>
      </c>
      <c r="N246" s="16">
        <f>+L246*(assessment!$J$272*assessment!$F$3)</f>
        <v>0</v>
      </c>
      <c r="P246" s="6">
        <f>+N246/payroll!F246</f>
        <v>0</v>
      </c>
      <c r="R246" s="16">
        <f>IF(P246&lt;$R$2,N246, +payroll!F246 * $R$2)</f>
        <v>0</v>
      </c>
      <c r="T246" s="5">
        <f t="shared" si="28"/>
        <v>0</v>
      </c>
      <c r="V246" t="e">
        <f t="shared" si="29"/>
        <v>#DIV/0!</v>
      </c>
    </row>
    <row r="247" spans="1:22" outlineLevel="1">
      <c r="A247" t="s">
        <v>412</v>
      </c>
      <c r="B247" t="s">
        <v>413</v>
      </c>
      <c r="C247" s="40">
        <v>0</v>
      </c>
      <c r="D247" s="40">
        <v>0</v>
      </c>
      <c r="E247" s="40">
        <v>0</v>
      </c>
      <c r="F247" s="16"/>
      <c r="G247" s="16">
        <f t="shared" si="24"/>
        <v>0</v>
      </c>
      <c r="H247" s="14">
        <v>1</v>
      </c>
      <c r="J247" s="16">
        <f t="shared" si="27"/>
        <v>0</v>
      </c>
      <c r="L247" s="3">
        <f t="shared" si="26"/>
        <v>0</v>
      </c>
      <c r="N247" s="16">
        <f>+L247*(assessment!$J$272*assessment!$F$3)</f>
        <v>0</v>
      </c>
      <c r="P247" s="6">
        <f>+N247/payroll!F247</f>
        <v>0</v>
      </c>
      <c r="R247" s="16">
        <f>IF(P247&lt;$R$2,N247, +payroll!F247 * $R$2)</f>
        <v>0</v>
      </c>
      <c r="T247" s="5">
        <f t="shared" si="28"/>
        <v>0</v>
      </c>
      <c r="V247" t="e">
        <f t="shared" si="29"/>
        <v>#DIV/0!</v>
      </c>
    </row>
    <row r="248" spans="1:22" outlineLevel="1">
      <c r="A248" t="s">
        <v>414</v>
      </c>
      <c r="B248" t="s">
        <v>415</v>
      </c>
      <c r="C248" s="40">
        <v>2689.08</v>
      </c>
      <c r="D248" s="40">
        <v>6478.49</v>
      </c>
      <c r="E248" s="40">
        <v>2635.59</v>
      </c>
      <c r="F248" s="16"/>
      <c r="G248" s="16">
        <f t="shared" si="24"/>
        <v>3934.3866666666668</v>
      </c>
      <c r="H248" s="14">
        <v>1</v>
      </c>
      <c r="J248" s="16">
        <f t="shared" si="27"/>
        <v>3934.3866666666668</v>
      </c>
      <c r="L248" s="3">
        <f t="shared" si="26"/>
        <v>1.0665868622861527E-4</v>
      </c>
      <c r="N248" s="16">
        <f>+L248*(assessment!$J$272*assessment!$F$3)</f>
        <v>3300.8449601427901</v>
      </c>
      <c r="P248" s="6">
        <f>+N248/payroll!F248</f>
        <v>1.7844819940337825E-3</v>
      </c>
      <c r="R248" s="16">
        <f>IF(P248&lt;$R$2,N248, +payroll!F248 * $R$2)</f>
        <v>3300.8449601427901</v>
      </c>
      <c r="T248" s="5">
        <f t="shared" si="28"/>
        <v>0</v>
      </c>
      <c r="V248">
        <f t="shared" si="29"/>
        <v>1</v>
      </c>
    </row>
    <row r="249" spans="1:22" outlineLevel="1">
      <c r="A249" t="s">
        <v>416</v>
      </c>
      <c r="B249" t="s">
        <v>417</v>
      </c>
      <c r="C249" s="40">
        <v>0</v>
      </c>
      <c r="D249" s="40">
        <v>0</v>
      </c>
      <c r="E249" s="40">
        <v>0</v>
      </c>
      <c r="F249" s="16"/>
      <c r="G249" s="16">
        <f t="shared" si="24"/>
        <v>0</v>
      </c>
      <c r="H249" s="14">
        <v>1</v>
      </c>
      <c r="J249" s="16">
        <f t="shared" si="27"/>
        <v>0</v>
      </c>
      <c r="L249" s="3">
        <f t="shared" si="26"/>
        <v>0</v>
      </c>
      <c r="N249" s="16">
        <f>+L249*(assessment!$J$272*assessment!$F$3)</f>
        <v>0</v>
      </c>
      <c r="P249" s="6">
        <f>+N249/payroll!F249</f>
        <v>0</v>
      </c>
      <c r="R249" s="16">
        <f>IF(P249&lt;$R$2,N249, +payroll!F249 * $R$2)</f>
        <v>0</v>
      </c>
      <c r="T249" s="5">
        <f t="shared" si="28"/>
        <v>0</v>
      </c>
      <c r="V249" t="e">
        <f t="shared" si="29"/>
        <v>#DIV/0!</v>
      </c>
    </row>
    <row r="250" spans="1:22" outlineLevel="1">
      <c r="A250" t="s">
        <v>418</v>
      </c>
      <c r="B250" t="s">
        <v>419</v>
      </c>
      <c r="C250" s="40">
        <v>0</v>
      </c>
      <c r="D250" s="40">
        <v>0</v>
      </c>
      <c r="E250" s="40">
        <v>0</v>
      </c>
      <c r="F250" s="16"/>
      <c r="G250" s="16">
        <f t="shared" si="24"/>
        <v>0</v>
      </c>
      <c r="H250" s="14">
        <v>1</v>
      </c>
      <c r="J250" s="16">
        <f t="shared" si="27"/>
        <v>0</v>
      </c>
      <c r="L250" s="3">
        <f t="shared" si="26"/>
        <v>0</v>
      </c>
      <c r="N250" s="16">
        <f>+L250*(assessment!$J$272*assessment!$F$3)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8"/>
        <v>0</v>
      </c>
      <c r="V250" t="e">
        <f t="shared" si="29"/>
        <v>#DIV/0!</v>
      </c>
    </row>
    <row r="251" spans="1:22" outlineLevel="1">
      <c r="A251" t="s">
        <v>420</v>
      </c>
      <c r="B251" t="s">
        <v>421</v>
      </c>
      <c r="C251" s="40">
        <v>-357.35</v>
      </c>
      <c r="D251" s="40">
        <v>0</v>
      </c>
      <c r="E251" s="40">
        <v>0</v>
      </c>
      <c r="F251" s="16"/>
      <c r="G251" s="16">
        <f t="shared" si="24"/>
        <v>0</v>
      </c>
      <c r="H251" s="14">
        <v>1</v>
      </c>
      <c r="J251" s="16">
        <f t="shared" si="27"/>
        <v>0</v>
      </c>
      <c r="L251" s="3">
        <f t="shared" si="26"/>
        <v>0</v>
      </c>
      <c r="N251" s="16">
        <f>+L251*(assessment!$J$272*assessment!$F$3)</f>
        <v>0</v>
      </c>
      <c r="P251" s="6">
        <f>+N251/payroll!F251</f>
        <v>0</v>
      </c>
      <c r="R251" s="16">
        <f>IF(P251&lt;$R$2,N251, +payroll!F251 * $R$2)</f>
        <v>0</v>
      </c>
      <c r="T251" s="5">
        <f t="shared" si="28"/>
        <v>0</v>
      </c>
      <c r="V251" t="e">
        <f t="shared" si="29"/>
        <v>#DIV/0!</v>
      </c>
    </row>
    <row r="252" spans="1:22" outlineLevel="1">
      <c r="A252" t="s">
        <v>422</v>
      </c>
      <c r="B252" t="s">
        <v>423</v>
      </c>
      <c r="C252" s="40">
        <v>2193.893</v>
      </c>
      <c r="D252" s="40">
        <v>429.3</v>
      </c>
      <c r="E252" s="40">
        <v>0</v>
      </c>
      <c r="F252" s="16"/>
      <c r="G252" s="16">
        <f t="shared" si="24"/>
        <v>874.39766666666674</v>
      </c>
      <c r="H252" s="14">
        <v>1</v>
      </c>
      <c r="J252" s="16">
        <f t="shared" si="27"/>
        <v>874.39766666666674</v>
      </c>
      <c r="L252" s="3">
        <f t="shared" si="26"/>
        <v>2.3704357062354488E-5</v>
      </c>
      <c r="N252" s="16">
        <f>+L252*(assessment!$J$272*assessment!$F$3)</f>
        <v>733.59620589162967</v>
      </c>
      <c r="P252" s="6">
        <f>+N252/payroll!F252</f>
        <v>6.3965630649761619E-4</v>
      </c>
      <c r="R252" s="16">
        <f>IF(P252&lt;$R$2,N252, +payroll!F252 * $R$2)</f>
        <v>733.59620589162967</v>
      </c>
      <c r="T252" s="5">
        <f t="shared" si="28"/>
        <v>0</v>
      </c>
      <c r="V252">
        <f t="shared" si="29"/>
        <v>1</v>
      </c>
    </row>
    <row r="253" spans="1:22" outlineLevel="1">
      <c r="A253" t="s">
        <v>424</v>
      </c>
      <c r="B253" t="s">
        <v>425</v>
      </c>
      <c r="C253" s="40">
        <v>24896.73</v>
      </c>
      <c r="D253" s="40">
        <v>28391.62</v>
      </c>
      <c r="E253" s="40">
        <v>4847.68</v>
      </c>
      <c r="F253" s="16"/>
      <c r="G253" s="16">
        <f t="shared" si="24"/>
        <v>19378.676666666666</v>
      </c>
      <c r="H253" s="14">
        <v>1</v>
      </c>
      <c r="J253" s="16">
        <f t="shared" si="27"/>
        <v>19378.676666666666</v>
      </c>
      <c r="L253" s="3">
        <f t="shared" si="26"/>
        <v>5.2534343195782861E-4</v>
      </c>
      <c r="N253" s="16">
        <f>+L253*(assessment!$J$272*assessment!$F$3)</f>
        <v>16258.19031752599</v>
      </c>
      <c r="P253" s="6">
        <f>+N253/payroll!F253</f>
        <v>8.0307894511500826E-3</v>
      </c>
      <c r="R253" s="16">
        <f>IF(P253&lt;$R$2,N253, +payroll!F253 * $R$2)</f>
        <v>16258.19031752599</v>
      </c>
      <c r="T253" s="5">
        <f t="shared" si="28"/>
        <v>0</v>
      </c>
      <c r="V253">
        <f t="shared" si="29"/>
        <v>1</v>
      </c>
    </row>
    <row r="254" spans="1:22" outlineLevel="1">
      <c r="A254" t="s">
        <v>426</v>
      </c>
      <c r="B254" t="s">
        <v>427</v>
      </c>
      <c r="C254" s="40">
        <v>0</v>
      </c>
      <c r="D254" s="40">
        <v>0</v>
      </c>
      <c r="E254" s="40">
        <v>0</v>
      </c>
      <c r="F254" s="16"/>
      <c r="G254" s="16">
        <f t="shared" si="24"/>
        <v>0</v>
      </c>
      <c r="H254" s="14">
        <v>1</v>
      </c>
      <c r="J254" s="16">
        <f t="shared" si="27"/>
        <v>0</v>
      </c>
      <c r="L254" s="3">
        <f t="shared" si="26"/>
        <v>0</v>
      </c>
      <c r="N254" s="16">
        <f>+L254*(assessment!$J$272*assessment!$F$3)</f>
        <v>0</v>
      </c>
      <c r="P254" s="6">
        <f>+N254/payroll!F254</f>
        <v>0</v>
      </c>
      <c r="R254" s="16">
        <f>IF(P254&lt;$R$2,N254, +payroll!F254 * $R$2)</f>
        <v>0</v>
      </c>
      <c r="T254" s="5">
        <f t="shared" si="28"/>
        <v>0</v>
      </c>
      <c r="V254" t="e">
        <f t="shared" si="29"/>
        <v>#DIV/0!</v>
      </c>
    </row>
    <row r="255" spans="1:22" outlineLevel="1">
      <c r="A255" t="s">
        <v>428</v>
      </c>
      <c r="B255" t="s">
        <v>429</v>
      </c>
      <c r="C255" s="40">
        <v>0</v>
      </c>
      <c r="D255" s="40">
        <v>0</v>
      </c>
      <c r="E255" s="40">
        <v>879.93</v>
      </c>
      <c r="F255" s="16"/>
      <c r="G255" s="16">
        <f t="shared" si="24"/>
        <v>293.31</v>
      </c>
      <c r="H255" s="14">
        <v>1</v>
      </c>
      <c r="J255" s="16">
        <f t="shared" si="27"/>
        <v>293.31</v>
      </c>
      <c r="L255" s="3">
        <f t="shared" si="26"/>
        <v>7.951445017533053E-6</v>
      </c>
      <c r="N255" s="16">
        <f>+L255*(assessment!$J$272*assessment!$F$3)</f>
        <v>246.07922842513744</v>
      </c>
      <c r="P255" s="6">
        <f>+N255/payroll!F255</f>
        <v>2.5132526739430526E-4</v>
      </c>
      <c r="R255" s="16">
        <f>IF(P255&lt;$R$2,N255, +payroll!F255 * $R$2)</f>
        <v>246.07922842513744</v>
      </c>
      <c r="T255" s="5">
        <f t="shared" si="28"/>
        <v>0</v>
      </c>
      <c r="V255">
        <f t="shared" si="29"/>
        <v>1</v>
      </c>
    </row>
    <row r="256" spans="1:22" outlineLevel="1">
      <c r="A256" t="s">
        <v>430</v>
      </c>
      <c r="B256" t="s">
        <v>431</v>
      </c>
      <c r="C256" s="40">
        <v>0</v>
      </c>
      <c r="D256" s="40">
        <v>0</v>
      </c>
      <c r="E256" s="40">
        <v>0</v>
      </c>
      <c r="F256" s="16"/>
      <c r="G256" s="16">
        <f t="shared" si="24"/>
        <v>0</v>
      </c>
      <c r="H256" s="14">
        <v>1</v>
      </c>
      <c r="J256" s="16">
        <f t="shared" si="27"/>
        <v>0</v>
      </c>
      <c r="L256" s="3">
        <f t="shared" si="26"/>
        <v>0</v>
      </c>
      <c r="N256" s="16">
        <f>+L256*(assessment!$J$272*assessment!$F$3)</f>
        <v>0</v>
      </c>
      <c r="P256" s="6">
        <f>+N256/payroll!F256</f>
        <v>0</v>
      </c>
      <c r="R256" s="16">
        <f>IF(P256&lt;$R$2,N256, +payroll!F256 * $R$2)</f>
        <v>0</v>
      </c>
      <c r="T256" s="5">
        <f t="shared" si="28"/>
        <v>0</v>
      </c>
      <c r="V256" t="e">
        <f t="shared" si="29"/>
        <v>#DIV/0!</v>
      </c>
    </row>
    <row r="257" spans="1:22" outlineLevel="1">
      <c r="A257" t="s">
        <v>432</v>
      </c>
      <c r="B257" t="s">
        <v>433</v>
      </c>
      <c r="C257" s="40">
        <v>6219.53</v>
      </c>
      <c r="D257" s="40">
        <v>2844.78</v>
      </c>
      <c r="E257" s="40">
        <v>0</v>
      </c>
      <c r="F257" s="16"/>
      <c r="G257" s="16">
        <f t="shared" si="24"/>
        <v>3021.4366666666665</v>
      </c>
      <c r="H257" s="14">
        <v>1</v>
      </c>
      <c r="J257" s="16">
        <f t="shared" si="27"/>
        <v>3021.4366666666665</v>
      </c>
      <c r="L257" s="3">
        <f t="shared" si="26"/>
        <v>8.1909200262378855E-5</v>
      </c>
      <c r="N257" s="16">
        <f>+L257*(assessment!$J$272*assessment!$F$3)</f>
        <v>2534.9043799009664</v>
      </c>
      <c r="P257" s="6">
        <f>+N257/payroll!F257</f>
        <v>5.8440280968481988E-4</v>
      </c>
      <c r="R257" s="16">
        <f>IF(P257&lt;$R$2,N257, +payroll!F257 * $R$2)</f>
        <v>2534.9043799009664</v>
      </c>
      <c r="T257" s="5">
        <f t="shared" si="28"/>
        <v>0</v>
      </c>
      <c r="V257">
        <f t="shared" si="29"/>
        <v>1</v>
      </c>
    </row>
    <row r="258" spans="1:22" outlineLevel="1">
      <c r="A258" t="s">
        <v>434</v>
      </c>
      <c r="B258" t="s">
        <v>435</v>
      </c>
      <c r="C258" s="40">
        <v>0</v>
      </c>
      <c r="D258" s="40">
        <v>0</v>
      </c>
      <c r="E258" s="40">
        <v>0</v>
      </c>
      <c r="F258" s="16"/>
      <c r="G258" s="16">
        <f t="shared" si="24"/>
        <v>0</v>
      </c>
      <c r="H258" s="14">
        <v>1</v>
      </c>
      <c r="J258" s="16">
        <f t="shared" si="27"/>
        <v>0</v>
      </c>
      <c r="L258" s="3">
        <f t="shared" si="26"/>
        <v>0</v>
      </c>
      <c r="N258" s="16">
        <f>+L258*(assessment!$J$272*assessment!$F$3)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28"/>
        <v>0</v>
      </c>
      <c r="V258" t="e">
        <f t="shared" si="29"/>
        <v>#DIV/0!</v>
      </c>
    </row>
    <row r="259" spans="1:22" outlineLevel="1">
      <c r="A259" s="50" t="s">
        <v>569</v>
      </c>
      <c r="B259" s="50" t="s">
        <v>570</v>
      </c>
      <c r="C259" s="40">
        <v>0</v>
      </c>
      <c r="D259" s="40">
        <v>0</v>
      </c>
      <c r="E259" s="40">
        <v>0</v>
      </c>
      <c r="F259" s="16"/>
      <c r="G259" s="16">
        <f>IF(SUM(C259:E259)&gt;0,AVERAGE(C259:E259),0)</f>
        <v>0</v>
      </c>
      <c r="H259" s="14">
        <v>1</v>
      </c>
      <c r="J259" s="16">
        <f>+G259*H259</f>
        <v>0</v>
      </c>
      <c r="L259" s="3">
        <f>+J259/$J$264</f>
        <v>0</v>
      </c>
      <c r="N259" s="16">
        <f>+L259*(assessment!$J$272*assessment!$F$3)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>+N259-R259</f>
        <v>0</v>
      </c>
      <c r="V259" t="e">
        <f>+R259/N259</f>
        <v>#DIV/0!</v>
      </c>
    </row>
    <row r="260" spans="1:22" outlineLevel="1">
      <c r="A260" t="s">
        <v>436</v>
      </c>
      <c r="B260" t="s">
        <v>437</v>
      </c>
      <c r="C260" s="40">
        <v>0</v>
      </c>
      <c r="D260" s="40">
        <v>0</v>
      </c>
      <c r="E260" s="40">
        <v>3449.55</v>
      </c>
      <c r="F260" s="16"/>
      <c r="G260" s="16">
        <f t="shared" si="24"/>
        <v>1149.8500000000001</v>
      </c>
      <c r="H260" s="14">
        <v>1</v>
      </c>
      <c r="J260" s="16">
        <f t="shared" si="27"/>
        <v>1149.8500000000001</v>
      </c>
      <c r="L260" s="3">
        <f t="shared" si="26"/>
        <v>3.1171692248509705E-5</v>
      </c>
      <c r="N260" s="16">
        <f>+L260*(assessment!$J$272*assessment!$F$3)</f>
        <v>964.69333062167777</v>
      </c>
      <c r="P260" s="6">
        <f>+N260/payroll!F260</f>
        <v>2.8365728957749641E-3</v>
      </c>
      <c r="R260" s="16">
        <f>IF(P260&lt;$R$2,N260, +payroll!F260 * $R$2)</f>
        <v>964.69333062167777</v>
      </c>
      <c r="T260" s="5">
        <f t="shared" si="28"/>
        <v>0</v>
      </c>
      <c r="V260">
        <f t="shared" si="29"/>
        <v>1</v>
      </c>
    </row>
    <row r="261" spans="1:22" outlineLevel="1">
      <c r="A261" t="s">
        <v>438</v>
      </c>
      <c r="B261" t="s">
        <v>439</v>
      </c>
      <c r="C261" s="48">
        <v>0</v>
      </c>
      <c r="D261" s="48">
        <v>0</v>
      </c>
      <c r="E261" s="48">
        <v>0</v>
      </c>
      <c r="F261" s="16"/>
      <c r="G261" s="20">
        <f>IF(SUM(C261:E261)&gt;0,AVERAGE(C261:E261),0)</f>
        <v>0</v>
      </c>
      <c r="H261" s="14">
        <v>1</v>
      </c>
      <c r="J261" s="20">
        <f t="shared" si="27"/>
        <v>0</v>
      </c>
      <c r="L261" s="24">
        <f t="shared" si="26"/>
        <v>0</v>
      </c>
      <c r="N261" s="20">
        <f>+L261*(assessment!$J$272*assessment!$F$3)</f>
        <v>0</v>
      </c>
      <c r="P261" s="26">
        <f>+N261/payroll!F261</f>
        <v>0</v>
      </c>
      <c r="R261" s="20">
        <f>IF(P261&lt;$R$2,N261, +payroll!F261 * $R$2)</f>
        <v>0</v>
      </c>
      <c r="T261" s="25">
        <f t="shared" si="28"/>
        <v>0</v>
      </c>
      <c r="V261" t="e">
        <f t="shared" si="29"/>
        <v>#DIV/0!</v>
      </c>
    </row>
    <row r="262" spans="1:22">
      <c r="B262" t="s">
        <v>483</v>
      </c>
      <c r="C262" s="40">
        <f>SUBTOTAL(9,C140:C261)</f>
        <v>360042.52300000004</v>
      </c>
      <c r="D262" s="40">
        <f>SUBTOTAL(9,D140:D261)</f>
        <v>512901.22000000003</v>
      </c>
      <c r="E262" s="40">
        <f>SUBTOTAL(9,E140:E261)</f>
        <v>526794.41</v>
      </c>
      <c r="F262" s="16"/>
      <c r="G262" s="16">
        <f>SUBTOTAL(9,G140:G261)</f>
        <v>475923.44766666665</v>
      </c>
      <c r="H262" s="14">
        <f>+J262/G262</f>
        <v>1</v>
      </c>
      <c r="J262" s="16">
        <f>SUBTOTAL(9,J140:J261)</f>
        <v>475923.44766666665</v>
      </c>
      <c r="L262" s="3">
        <f>SUBTOTAL(9,L140:L261)</f>
        <v>1.2901977861908115E-2</v>
      </c>
      <c r="N262" s="16">
        <f>SUBTOTAL(9,N140:N261)</f>
        <v>399287.01643736893</v>
      </c>
      <c r="P262" s="6">
        <f>+N262/payroll!F262</f>
        <v>1.4717955015230199E-3</v>
      </c>
      <c r="R262" s="16">
        <f>SUBTOTAL(9,R140:R261)</f>
        <v>399287.01643736893</v>
      </c>
      <c r="T262" s="5">
        <f>SUBTOTAL(9,T140:T261)</f>
        <v>0</v>
      </c>
      <c r="V262">
        <f>+R262/N262</f>
        <v>1</v>
      </c>
    </row>
    <row r="263" spans="1:22">
      <c r="C263" s="40"/>
      <c r="D263" s="40"/>
      <c r="E263" s="40"/>
      <c r="F263" s="16"/>
      <c r="G263" s="16"/>
      <c r="J263" s="16"/>
      <c r="N263" s="16"/>
      <c r="R263" s="16"/>
      <c r="T263" s="7"/>
    </row>
    <row r="264" spans="1:22" ht="13.5" thickBot="1">
      <c r="C264" s="43">
        <f>SUBTOTAL(9,C4:C263)</f>
        <v>34903710.133000009</v>
      </c>
      <c r="D264" s="43">
        <f>SUBTOTAL(9,D4:D263)</f>
        <v>37821517.660000026</v>
      </c>
      <c r="E264" s="43">
        <f>SUBTOTAL(9,E4:E263)</f>
        <v>37878836.900000006</v>
      </c>
      <c r="F264" s="16"/>
      <c r="G264" s="17">
        <f>SUBTOTAL(9,G4:G263)</f>
        <v>36887634.807666674</v>
      </c>
      <c r="H264" s="14">
        <f>+J264/G264</f>
        <v>1</v>
      </c>
      <c r="J264" s="17">
        <f>SUBTOTAL(9,J4:J263)</f>
        <v>36887634.807666674</v>
      </c>
      <c r="L264" s="18">
        <f>SUBTOTAL(9,L4:L263)</f>
        <v>0.99999999999999989</v>
      </c>
      <c r="N264" s="17">
        <f>SUBTOTAL(9,N5:N263)</f>
        <v>30947736.905999981</v>
      </c>
      <c r="P264" s="6">
        <f>+N264/payroll!F264</f>
        <v>3.3239126605314395E-3</v>
      </c>
      <c r="R264" s="17">
        <f>SUBTOTAL(9,R5:R263)</f>
        <v>30947736.905999981</v>
      </c>
      <c r="T264" s="5">
        <f>SUBTOTAL(9,T4:T263)</f>
        <v>0</v>
      </c>
    </row>
    <row r="265" spans="1:22" ht="13.5" thickTop="1"/>
    <row r="266" spans="1:22">
      <c r="C266" s="58"/>
      <c r="D266" s="58"/>
      <c r="E266" s="58"/>
    </row>
    <row r="267" spans="1:22">
      <c r="C267" s="97"/>
      <c r="D267" s="97"/>
      <c r="E267" s="98"/>
    </row>
    <row r="268" spans="1:22">
      <c r="C268" s="58"/>
      <c r="D268" s="58"/>
      <c r="E268" s="58"/>
    </row>
    <row r="269" spans="1:22">
      <c r="C269" s="97"/>
      <c r="D269" s="97"/>
      <c r="E269" s="97"/>
    </row>
    <row r="270" spans="1:22">
      <c r="C270" s="97"/>
      <c r="D270" s="97"/>
      <c r="E270" s="97"/>
    </row>
    <row r="272" spans="1:22">
      <c r="C272" s="40"/>
      <c r="D272" s="40"/>
      <c r="E272" s="40"/>
    </row>
  </sheetData>
  <phoneticPr fontId="8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2018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2013-08-05T02:34:41Z</cp:lastPrinted>
  <dcterms:created xsi:type="dcterms:W3CDTF">2001-09-27T20:26:12Z</dcterms:created>
  <dcterms:modified xsi:type="dcterms:W3CDTF">2018-05-08T16:23:53Z</dcterms:modified>
</cp:coreProperties>
</file>